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6 сесія 8 скликання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Лист1!$A$8:$AZ$212</definedName>
    <definedName name="_xlnm.Print_Area" localSheetId="0">Лист1!$A$1:$J$214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9" i="1" l="1"/>
  <c r="I154" i="1" l="1"/>
  <c r="I153" i="1"/>
  <c r="I159" i="1" l="1"/>
  <c r="I90" i="1"/>
  <c r="I40" i="1"/>
  <c r="I35" i="1"/>
  <c r="I29" i="1"/>
  <c r="I26" i="1"/>
  <c r="L189" i="1" l="1"/>
  <c r="L144" i="1"/>
  <c r="M60" i="1" l="1"/>
  <c r="I13" i="1"/>
  <c r="I209" i="1"/>
  <c r="I184" i="1"/>
  <c r="I185" i="1"/>
  <c r="M183" i="1"/>
  <c r="M182" i="1"/>
  <c r="M181" i="1"/>
  <c r="M180" i="1"/>
  <c r="I121" i="1"/>
  <c r="I122" i="1"/>
  <c r="I123" i="1"/>
  <c r="I120" i="1"/>
  <c r="I156" i="1"/>
  <c r="I157" i="1"/>
  <c r="I158" i="1"/>
  <c r="I155" i="1"/>
  <c r="L52" i="1"/>
  <c r="L54" i="1"/>
  <c r="L57" i="1"/>
  <c r="M84" i="1"/>
  <c r="M88" i="1"/>
  <c r="M89" i="1"/>
  <c r="L87" i="1"/>
  <c r="M87" i="1" s="1"/>
  <c r="L58" i="1" l="1"/>
  <c r="L173" i="1" l="1"/>
  <c r="L177" i="1"/>
  <c r="L176" i="1"/>
  <c r="L14" i="1" l="1"/>
  <c r="L47" i="1" l="1"/>
  <c r="L63" i="1" l="1"/>
  <c r="L64" i="1"/>
  <c r="L62" i="1"/>
  <c r="L195" i="1" l="1"/>
  <c r="L192" i="1"/>
  <c r="L41" i="1" l="1"/>
  <c r="L65" i="1" l="1"/>
  <c r="L211" i="1" l="1"/>
  <c r="M83" i="1" l="1"/>
  <c r="I199" i="1" l="1"/>
  <c r="L193" i="1" l="1"/>
  <c r="L194" i="1"/>
  <c r="I211" i="1" l="1"/>
  <c r="M179" i="1" l="1"/>
  <c r="G179" i="1"/>
  <c r="G178" i="1"/>
  <c r="G177" i="1"/>
  <c r="M177" i="1"/>
  <c r="M178" i="1"/>
  <c r="L117" i="1" l="1"/>
  <c r="L116" i="1"/>
  <c r="L73" i="1" l="1"/>
  <c r="I176" i="1"/>
  <c r="M176" i="1" s="1"/>
  <c r="G93" i="1"/>
  <c r="I151" i="1"/>
  <c r="I150" i="1" s="1"/>
  <c r="I152" i="1"/>
  <c r="G152" i="1" s="1"/>
  <c r="M86" i="1"/>
  <c r="M198" i="1"/>
  <c r="L151" i="1" l="1"/>
  <c r="L9" i="1"/>
  <c r="L26" i="1" l="1"/>
  <c r="M191" i="1" l="1"/>
  <c r="M192" i="1"/>
  <c r="M193" i="1"/>
  <c r="M194" i="1"/>
  <c r="M195" i="1"/>
  <c r="M196" i="1"/>
  <c r="M172" i="1"/>
  <c r="M173" i="1"/>
  <c r="M174" i="1"/>
  <c r="M175" i="1"/>
  <c r="L68" i="1"/>
  <c r="M68" i="1" s="1"/>
  <c r="L115" i="1"/>
  <c r="L97" i="1"/>
  <c r="M119" i="1" l="1"/>
  <c r="I129" i="1" l="1"/>
  <c r="I146" i="1"/>
  <c r="M146" i="1" s="1"/>
  <c r="I98" i="1" l="1"/>
  <c r="I97" i="1"/>
  <c r="I96" i="1" s="1"/>
  <c r="M25" i="1"/>
  <c r="M148" i="1"/>
  <c r="M101" i="1"/>
  <c r="M118" i="1"/>
  <c r="M117" i="1"/>
  <c r="I49" i="1" l="1"/>
  <c r="M59" i="1"/>
  <c r="M58" i="1"/>
  <c r="M55" i="1"/>
  <c r="M54" i="1"/>
  <c r="M57" i="1"/>
  <c r="M56" i="1"/>
  <c r="M53" i="1"/>
  <c r="M52" i="1"/>
  <c r="I22" i="1"/>
  <c r="I21" i="1"/>
  <c r="M152" i="1"/>
  <c r="M153" i="1"/>
  <c r="M154" i="1"/>
  <c r="M65" i="1" l="1"/>
  <c r="I79" i="1" l="1"/>
  <c r="L100" i="1" l="1"/>
  <c r="L99" i="1"/>
  <c r="G32" i="1" l="1"/>
  <c r="M202" i="1" l="1"/>
  <c r="M190" i="1"/>
  <c r="L16" i="1" l="1"/>
  <c r="L8" i="1" s="1"/>
  <c r="L105" i="1" l="1"/>
  <c r="L104" i="1"/>
  <c r="L102" i="1"/>
  <c r="M171" i="1" l="1"/>
  <c r="M170" i="1"/>
  <c r="L160" i="1" l="1"/>
  <c r="M95" i="1" l="1"/>
  <c r="G145" i="1" l="1"/>
  <c r="G142" i="1"/>
  <c r="G144" i="1"/>
  <c r="G129" i="1"/>
  <c r="M42" i="1" l="1"/>
  <c r="G126" i="1" l="1"/>
  <c r="G127" i="1"/>
  <c r="G125" i="1"/>
  <c r="G117" i="1"/>
  <c r="G116" i="1"/>
  <c r="G115" i="1"/>
  <c r="G100" i="1"/>
  <c r="G102" i="1"/>
  <c r="G103" i="1"/>
  <c r="G104" i="1"/>
  <c r="G105" i="1"/>
  <c r="G99" i="1"/>
  <c r="G37" i="1"/>
  <c r="G38" i="1"/>
  <c r="G39" i="1"/>
  <c r="G36" i="1"/>
  <c r="G33" i="1"/>
  <c r="G34" i="1"/>
  <c r="G30" i="1"/>
  <c r="G28" i="1"/>
  <c r="G27" i="1"/>
  <c r="I203" i="1" l="1"/>
  <c r="M206" i="1"/>
  <c r="M15" i="1"/>
  <c r="G15" i="1"/>
  <c r="M12" i="1"/>
  <c r="M16" i="1"/>
  <c r="M111" i="1" l="1"/>
  <c r="M112" i="1"/>
  <c r="M113" i="1"/>
  <c r="M114" i="1"/>
  <c r="G75" i="1"/>
  <c r="G76" i="1"/>
  <c r="G77" i="1"/>
  <c r="G78" i="1"/>
  <c r="G79" i="1"/>
  <c r="G82" i="1"/>
  <c r="G92" i="1"/>
  <c r="G91" i="1"/>
  <c r="G106" i="1"/>
  <c r="G107" i="1"/>
  <c r="G108" i="1"/>
  <c r="G109" i="1"/>
  <c r="G111" i="1"/>
  <c r="G112" i="1"/>
  <c r="G113" i="1"/>
  <c r="G114" i="1"/>
  <c r="G124" i="1"/>
  <c r="G128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3" i="1"/>
  <c r="G147" i="1"/>
  <c r="G200" i="1"/>
  <c r="G205" i="1"/>
  <c r="G204" i="1"/>
  <c r="M31" i="1"/>
  <c r="G68" i="1" l="1"/>
  <c r="I9" i="1" l="1"/>
  <c r="M14" i="1"/>
  <c r="G164" i="1" l="1"/>
  <c r="G165" i="1"/>
  <c r="G166" i="1"/>
  <c r="G167" i="1"/>
  <c r="G168" i="1"/>
  <c r="G169" i="1"/>
  <c r="G49" i="1" l="1"/>
  <c r="G48" i="1"/>
  <c r="G46" i="1"/>
  <c r="G45" i="1"/>
  <c r="L7" i="1" l="1"/>
  <c r="M11" i="1" l="1"/>
  <c r="M205" i="1" l="1"/>
  <c r="M204" i="1"/>
  <c r="M169" i="1"/>
  <c r="M168" i="1"/>
  <c r="M211" i="1" l="1"/>
  <c r="I210" i="1"/>
  <c r="M81" i="1"/>
  <c r="M208" i="1" l="1"/>
  <c r="M209" i="1"/>
  <c r="M200" i="1"/>
  <c r="I62" i="1" l="1"/>
  <c r="I43" i="1" s="1"/>
  <c r="M145" i="1" l="1"/>
  <c r="M144" i="1"/>
  <c r="M116" i="1"/>
  <c r="M143" i="1"/>
  <c r="M142" i="1"/>
  <c r="M115" i="1"/>
  <c r="M167" i="1"/>
  <c r="M166" i="1"/>
  <c r="I207" i="1"/>
  <c r="M82" i="1"/>
  <c r="M207" i="1" l="1"/>
  <c r="M199" i="1"/>
  <c r="M189" i="1"/>
  <c r="M188" i="1"/>
  <c r="M66" i="1" l="1"/>
  <c r="L133" i="1" l="1"/>
  <c r="M133" i="1" s="1"/>
  <c r="L132" i="1"/>
  <c r="M132" i="1" s="1"/>
  <c r="L139" i="1"/>
  <c r="M139" i="1" s="1"/>
  <c r="L137" i="1"/>
  <c r="M137" i="1" s="1"/>
  <c r="L131" i="1"/>
  <c r="M131" i="1" s="1"/>
  <c r="L140" i="1"/>
  <c r="M140" i="1" s="1"/>
  <c r="L130" i="1"/>
  <c r="L136" i="1"/>
  <c r="M136" i="1" s="1"/>
  <c r="L134" i="1"/>
  <c r="M134" i="1" s="1"/>
  <c r="M10" i="1"/>
  <c r="M13" i="1"/>
  <c r="M18" i="1"/>
  <c r="M20" i="1"/>
  <c r="M21" i="1"/>
  <c r="M22" i="1"/>
  <c r="M24" i="1"/>
  <c r="M27" i="1"/>
  <c r="M28" i="1"/>
  <c r="M30" i="1"/>
  <c r="M32" i="1"/>
  <c r="M33" i="1"/>
  <c r="M34" i="1"/>
  <c r="M36" i="1"/>
  <c r="M37" i="1"/>
  <c r="M38" i="1"/>
  <c r="M39" i="1"/>
  <c r="M41" i="1"/>
  <c r="M45" i="1"/>
  <c r="M46" i="1"/>
  <c r="M47" i="1"/>
  <c r="M48" i="1"/>
  <c r="M49" i="1"/>
  <c r="M50" i="1"/>
  <c r="M51" i="1"/>
  <c r="M63" i="1"/>
  <c r="M64" i="1"/>
  <c r="M70" i="1"/>
  <c r="M74" i="1"/>
  <c r="M75" i="1"/>
  <c r="M76" i="1"/>
  <c r="M77" i="1"/>
  <c r="M78" i="1"/>
  <c r="M79" i="1"/>
  <c r="M80" i="1"/>
  <c r="M91" i="1"/>
  <c r="M92" i="1"/>
  <c r="M99" i="1"/>
  <c r="M100" i="1"/>
  <c r="M102" i="1"/>
  <c r="M103" i="1"/>
  <c r="M104" i="1"/>
  <c r="M105" i="1"/>
  <c r="M106" i="1"/>
  <c r="M107" i="1"/>
  <c r="M108" i="1"/>
  <c r="M109" i="1"/>
  <c r="M110" i="1"/>
  <c r="M124" i="1"/>
  <c r="M125" i="1"/>
  <c r="M126" i="1"/>
  <c r="M127" i="1"/>
  <c r="M128" i="1"/>
  <c r="M129" i="1"/>
  <c r="M135" i="1"/>
  <c r="M138" i="1"/>
  <c r="M141" i="1"/>
  <c r="M147" i="1"/>
  <c r="M160" i="1"/>
  <c r="M164" i="1"/>
  <c r="M165" i="1"/>
  <c r="M26" i="1" l="1"/>
  <c r="M130" i="1"/>
  <c r="L71" i="1"/>
  <c r="M151" i="1" l="1"/>
  <c r="I163" i="1" l="1"/>
  <c r="I161" i="1" s="1"/>
  <c r="G163" i="1" l="1"/>
  <c r="M163" i="1"/>
  <c r="M97" i="1" l="1"/>
  <c r="M62" i="1"/>
  <c r="I69" i="1"/>
  <c r="M69" i="1" s="1"/>
  <c r="I67" i="1"/>
  <c r="M67" i="1" l="1"/>
  <c r="I23" i="1"/>
  <c r="M23" i="1" s="1"/>
  <c r="M9" i="1" l="1"/>
  <c r="I73" i="1"/>
  <c r="I72" i="1" s="1"/>
  <c r="I71" i="1" l="1"/>
  <c r="M73" i="1"/>
  <c r="I17" i="1"/>
  <c r="M17" i="1" l="1"/>
  <c r="M40" i="1" l="1"/>
  <c r="M71" i="1"/>
  <c r="I19" i="1"/>
  <c r="I8" i="1" s="1"/>
  <c r="I7" i="1" s="1"/>
  <c r="M19" i="1" l="1"/>
  <c r="I212" i="1"/>
  <c r="M7" i="1" l="1"/>
</calcChain>
</file>

<file path=xl/sharedStrings.xml><?xml version="1.0" encoding="utf-8"?>
<sst xmlns="http://schemas.openxmlformats.org/spreadsheetml/2006/main" count="512" uniqueCount="305">
  <si>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</si>
  <si>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</si>
  <si>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</si>
  <si>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</si>
  <si>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</si>
  <si>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</si>
  <si>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</si>
  <si>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</si>
  <si>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</si>
  <si>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</si>
  <si>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</si>
  <si>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</si>
  <si>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</si>
  <si>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</si>
  <si>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</si>
  <si>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</si>
  <si>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</si>
  <si>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</si>
  <si>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</si>
  <si>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</si>
  <si>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</si>
  <si>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</si>
  <si>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</si>
  <si>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</si>
  <si>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</si>
  <si>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</si>
  <si>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</si>
  <si>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КНП "Бучанський центр первинної медико-санітарної допомоги" Бучанської міської ради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</si>
  <si>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</si>
  <si>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</si>
  <si>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</si>
  <si>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</si>
  <si>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</si>
  <si>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</si>
  <si>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</si>
  <si>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</si>
  <si>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</si>
  <si>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</si>
  <si>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</si>
  <si>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</si>
  <si>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</si>
  <si>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</si>
  <si>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</si>
  <si>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</si>
  <si>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</si>
  <si>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</si>
  <si>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</si>
  <si>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</si>
  <si>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</si>
  <si>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</si>
  <si>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</si>
  <si>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</si>
  <si>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</si>
  <si>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</si>
  <si>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</si>
  <si>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</si>
  <si>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</si>
  <si>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</si>
  <si>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</si>
  <si>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</si>
  <si>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</si>
  <si>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</si>
  <si>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</si>
  <si>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</si>
  <si>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</si>
  <si>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</si>
  <si>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</si>
  <si>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</si>
  <si>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</si>
  <si>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</si>
  <si>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</si>
  <si>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</si>
  <si>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</si>
  <si>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</si>
  <si>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</si>
  <si>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</si>
  <si>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</si>
  <si>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</si>
  <si>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</si>
  <si>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</si>
  <si>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</si>
  <si>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</si>
  <si>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</si>
  <si>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</si>
  <si>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</si>
  <si>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</si>
  <si>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</si>
  <si>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</si>
  <si>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</si>
  <si>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</si>
  <si>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</si>
  <si>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</si>
  <si>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</si>
  <si>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</si>
  <si>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</si>
  <si>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</si>
  <si>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</si>
  <si>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</si>
  <si>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</si>
  <si>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</si>
  <si>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</si>
  <si>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</si>
  <si>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</si>
  <si>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</si>
  <si>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</si>
  <si>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</si>
  <si>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</si>
  <si>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</si>
  <si>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</si>
  <si>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</si>
  <si>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</si>
  <si>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</si>
  <si>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</si>
  <si>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</si>
  <si>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</si>
  <si>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</si>
  <si>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</si>
  <si>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</si>
  <si>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</si>
  <si>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</si>
  <si>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</si>
  <si>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</si>
  <si>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</si>
  <si>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</si>
  <si>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</si>
  <si>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</si>
  <si>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</si>
  <si>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</si>
  <si>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</si>
  <si>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</si>
  <si>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</si>
  <si>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</si>
  <si>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</si>
  <si>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</si>
  <si>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</si>
  <si>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</si>
  <si>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</si>
  <si>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</si>
  <si>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</si>
  <si>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</si>
  <si>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</si>
  <si>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</si>
  <si>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</si>
  <si>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</si>
  <si>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</si>
  <si>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</si>
  <si>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</si>
  <si>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</si>
  <si>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</si>
  <si>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</si>
  <si>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</si>
  <si>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</si>
  <si>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</si>
  <si>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</si>
  <si>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</si>
  <si>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</si>
  <si>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</si>
  <si>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</si>
  <si>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</si>
  <si>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</si>
  <si>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</si>
  <si>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</si>
  <si>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</si>
  <si>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</si>
  <si>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</si>
  <si>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</si>
  <si>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</si>
  <si>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</si>
  <si>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</si>
  <si>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</si>
  <si>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</si>
  <si>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</si>
  <si>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</si>
  <si>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</si>
  <si>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</si>
  <si>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</si>
  <si>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</si>
  <si>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</si>
  <si>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</si>
  <si>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</si>
  <si>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</si>
  <si>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</si>
  <si>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</si>
  <si>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</si>
  <si>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</si>
  <si>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</si>
  <si>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</si>
  <si>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</si>
  <si>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</si>
  <si>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</si>
  <si>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</si>
  <si>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</si>
  <si>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</si>
  <si>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</si>
  <si>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</si>
  <si>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</si>
  <si>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</si>
  <si>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</si>
  <si>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</si>
  <si>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</si>
  <si>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</si>
  <si>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</si>
  <si>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</si>
  <si>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</si>
  <si>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</si>
  <si>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</si>
  <si>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</si>
  <si>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</si>
  <si>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</si>
  <si>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</si>
  <si>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</si>
  <si>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</si>
  <si>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</si>
  <si>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</si>
  <si>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</si>
  <si>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</si>
  <si>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</si>
  <si>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</si>
  <si>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</si>
  <si>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</si>
  <si>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</si>
  <si>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</si>
  <si>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</si>
  <si>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</si>
  <si>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</si>
  <si>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</si>
  <si>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Капітальний ремонт щодо покращення енергозбереження будівлі в початковій Ірпінській ЗОШ-І ступеня № 11 комунальної власності по вул. Березова, 5 в селищі Ворзель Київської обл. (в т.ч. виготовлення п.к.д.)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</si>
  <si>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</si>
  <si>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</si>
  <si>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</si>
  <si>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</si>
  <si>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</si>
  <si>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</si>
  <si>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</si>
  <si>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</si>
  <si>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</si>
  <si>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</si>
  <si>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</si>
  <si>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</si>
  <si>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</si>
  <si>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</si>
  <si>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</si>
  <si>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</si>
  <si>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</si>
  <si>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</si>
  <si>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</si>
  <si>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</si>
  <si>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</si>
  <si>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</si>
  <si>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</si>
  <si>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</si>
  <si>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</si>
  <si>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</si>
  <si>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</si>
  <si>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</si>
  <si>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</si>
  <si>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</si>
  <si>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</si>
  <si>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</si>
  <si>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</si>
  <si>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</si>
  <si>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</si>
  <si>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 xml:space="preserve">Будівництво спортивного блоку в комплексі з будівлями загальноосвітньої школи №2 по вул. Шевченка,14 в м. Буча ( Залишки). Коригування 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</si>
  <si>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</si>
  <si>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</si>
  <si>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</si>
  <si>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</si>
  <si>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</si>
  <si>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</si>
  <si>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</si>
  <si>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Реконструкція адміністративної будівлі з прибудовою вхідної групи по бульвару  Б.Хмельницького, 5/5а в м.Буча Київської області (співфінансування)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</si>
  <si>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</si>
  <si>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</si>
  <si>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</si>
  <si>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</si>
  <si>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</si>
  <si>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</si>
  <si>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</si>
  <si>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</si>
  <si>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</si>
  <si>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</si>
  <si>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</si>
  <si>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</si>
  <si>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</si>
  <si>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</si>
  <si>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</si>
  <si>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</si>
  <si>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</si>
  <si>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</si>
  <si>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</si>
  <si>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</si>
  <si>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</si>
  <si>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</si>
  <si>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</si>
  <si>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</si>
  <si>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</si>
  <si>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</si>
  <si>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</si>
  <si>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</si>
  <si>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</si>
  <si>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</si>
  <si>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</si>
  <si>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</si>
  <si>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</si>
  <si>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 xml:space="preserve">до рішення Бучанської міської ради № 1724 -16-VIIІ від  26.08.2021р.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</si>
</sst>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31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8" fillId="0" borderId="0" applyFont="0" applyFill="0" applyBorder="0" applyAlignment="0" applyProtection="0"/>
  </cellStyleXfs>
  <cellXfs count="285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9" fillId="0" borderId="0" xfId="0" applyFont="1"/>
    <xf numFmtId="0" fontId="11" fillId="0" borderId="1" xfId="0" applyFont="1" applyFill="1" applyBorder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/>
    <xf numFmtId="164" fontId="21" fillId="0" borderId="1" xfId="0" applyNumberFormat="1" applyFont="1" applyFill="1" applyBorder="1"/>
    <xf numFmtId="164" fontId="20" fillId="0" borderId="1" xfId="0" applyNumberFormat="1" applyFont="1" applyBorder="1"/>
    <xf numFmtId="164" fontId="20" fillId="3" borderId="1" xfId="0" applyNumberFormat="1" applyFont="1" applyFill="1" applyBorder="1"/>
    <xf numFmtId="164" fontId="22" fillId="0" borderId="1" xfId="0" applyNumberFormat="1" applyFont="1" applyFill="1" applyBorder="1"/>
    <xf numFmtId="164" fontId="23" fillId="0" borderId="1" xfId="0" applyNumberFormat="1" applyFont="1" applyFill="1" applyBorder="1"/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24" fillId="7" borderId="1" xfId="0" applyFont="1" applyFill="1" applyBorder="1" applyAlignment="1">
      <alignment horizontal="center" vertical="center"/>
    </xf>
    <xf numFmtId="164" fontId="25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5" fillId="4" borderId="1" xfId="0" applyNumberFormat="1" applyFont="1" applyFill="1" applyBorder="1"/>
    <xf numFmtId="4" fontId="25" fillId="4" borderId="1" xfId="0" applyNumberFormat="1" applyFont="1" applyFill="1" applyBorder="1"/>
    <xf numFmtId="0" fontId="1" fillId="0" borderId="1" xfId="0" applyFont="1" applyBorder="1"/>
    <xf numFmtId="4" fontId="25" fillId="0" borderId="1" xfId="0" applyNumberFormat="1" applyFont="1" applyBorder="1"/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3" fillId="8" borderId="1" xfId="0" applyFont="1" applyFill="1" applyBorder="1" applyAlignment="1">
      <alignment horizontal="center" vertical="center"/>
    </xf>
    <xf numFmtId="164" fontId="20" fillId="8" borderId="1" xfId="0" applyNumberFormat="1" applyFont="1" applyFill="1" applyBorder="1"/>
    <xf numFmtId="164" fontId="1" fillId="8" borderId="1" xfId="0" applyNumberFormat="1" applyFont="1" applyFill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 shrinkToFit="1"/>
    </xf>
    <xf numFmtId="4" fontId="15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7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165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20" fillId="9" borderId="1" xfId="0" applyNumberFormat="1" applyFont="1" applyFill="1" applyBorder="1"/>
    <xf numFmtId="164" fontId="1" fillId="9" borderId="1" xfId="0" applyNumberFormat="1" applyFont="1" applyFill="1" applyBorder="1"/>
    <xf numFmtId="0" fontId="18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13" fillId="9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wrapText="1" shrinkToFit="1"/>
    </xf>
    <xf numFmtId="4" fontId="11" fillId="0" borderId="4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7" fillId="0" borderId="1" xfId="0" applyFont="1" applyFill="1" applyBorder="1" applyAlignment="1">
      <alignment wrapTex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9" fillId="0" borderId="1" xfId="0" applyNumberFormat="1" applyFont="1" applyFill="1" applyBorder="1"/>
    <xf numFmtId="164" fontId="5" fillId="0" borderId="1" xfId="0" applyNumberFormat="1" applyFont="1" applyFill="1" applyBorder="1"/>
    <xf numFmtId="164" fontId="29" fillId="9" borderId="1" xfId="0" applyNumberFormat="1" applyFont="1" applyFill="1" applyBorder="1"/>
    <xf numFmtId="164" fontId="5" fillId="9" borderId="1" xfId="0" applyNumberFormat="1" applyFont="1" applyFill="1" applyBorder="1"/>
    <xf numFmtId="0" fontId="29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/>
    <xf numFmtId="164" fontId="1" fillId="0" borderId="3" xfId="0" applyNumberFormat="1" applyFont="1" applyFill="1" applyBorder="1" applyAlignment="1"/>
    <xf numFmtId="164" fontId="1" fillId="0" borderId="4" xfId="0" applyNumberFormat="1" applyFont="1" applyFill="1" applyBorder="1" applyAlignment="1"/>
    <xf numFmtId="164" fontId="1" fillId="0" borderId="2" xfId="0" applyNumberFormat="1" applyFont="1" applyFill="1" applyBorder="1" applyAlignment="1"/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7" fillId="0" borderId="0" xfId="0" applyFont="1" applyFill="1"/>
    <xf numFmtId="164" fontId="22" fillId="0" borderId="5" xfId="0" applyNumberFormat="1" applyFont="1" applyFill="1" applyBorder="1"/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9" fontId="26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1" fontId="15" fillId="4" borderId="3" xfId="0" applyNumberFormat="1" applyFont="1" applyFill="1" applyBorder="1" applyAlignment="1">
      <alignment horizontal="center" vertical="center" wrapText="1" shrinkToFit="1"/>
    </xf>
    <xf numFmtId="1" fontId="15" fillId="4" borderId="4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quotePrefix="1" applyNumberFormat="1" applyFont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 wrapText="1" shrinkToFi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0" fontId="15" fillId="0" borderId="0" xfId="0" applyNumberFormat="1" applyFont="1" applyFill="1" applyAlignment="1" applyProtection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 shrinkToFit="1"/>
    </xf>
    <xf numFmtId="4" fontId="11" fillId="0" borderId="7" xfId="0" applyNumberFormat="1" applyFont="1" applyFill="1" applyBorder="1" applyAlignment="1">
      <alignment horizontal="center" vertical="center" wrapText="1" shrinkToFit="1"/>
    </xf>
    <xf numFmtId="9" fontId="11" fillId="0" borderId="5" xfId="1" applyFont="1" applyFill="1" applyBorder="1" applyAlignment="1">
      <alignment horizontal="center" vertical="center" wrapText="1" shrinkToFit="1"/>
    </xf>
    <xf numFmtId="9" fontId="11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49" fontId="30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0"/>
  <sheetViews>
    <sheetView tabSelected="1" view="pageBreakPreview" topLeftCell="G1" zoomScale="84" zoomScaleNormal="75" zoomScaleSheetLayoutView="84" workbookViewId="0">
      <selection activeCell="E2" sqref="E2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46" t="s">
        <v>0</v>
      </c>
      <c r="H1" s="246"/>
      <c r="I1" s="246"/>
      <c r="J1" s="246"/>
    </row>
    <row r="2" spans="1:13" ht="96" customHeight="1" x14ac:dyDescent="0.3">
      <c r="D2" s="20"/>
      <c r="G2" s="263" t="s">
        <v>304</v>
      </c>
      <c r="H2" s="263"/>
      <c r="I2" s="263"/>
      <c r="J2" s="263"/>
    </row>
    <row r="3" spans="1:13" s="2" customFormat="1" ht="23.25" customHeight="1" x14ac:dyDescent="0.2">
      <c r="A3" s="248" t="s">
        <v>1</v>
      </c>
      <c r="B3" s="248"/>
      <c r="C3" s="248"/>
      <c r="D3" s="248"/>
      <c r="E3" s="248"/>
      <c r="F3" s="248"/>
      <c r="G3" s="248"/>
      <c r="H3" s="248"/>
      <c r="I3" s="248"/>
      <c r="J3" s="248"/>
      <c r="K3" s="13"/>
      <c r="L3" s="13"/>
    </row>
    <row r="4" spans="1:13" s="2" customFormat="1" ht="24.75" customHeight="1" x14ac:dyDescent="0.2">
      <c r="A4" s="247" t="s">
        <v>188</v>
      </c>
      <c r="B4" s="247"/>
      <c r="C4" s="247"/>
      <c r="D4" s="247"/>
      <c r="E4" s="247"/>
      <c r="F4" s="247"/>
      <c r="G4" s="247"/>
      <c r="H4" s="247"/>
      <c r="I4" s="247"/>
      <c r="J4" s="247"/>
      <c r="K4" s="13"/>
      <c r="L4" s="13"/>
    </row>
    <row r="5" spans="1:13" ht="93.75" customHeight="1" x14ac:dyDescent="0.2">
      <c r="A5" s="14" t="s">
        <v>190</v>
      </c>
      <c r="B5" s="14" t="s">
        <v>191</v>
      </c>
      <c r="C5" s="14" t="s">
        <v>3</v>
      </c>
      <c r="D5" s="14" t="s">
        <v>192</v>
      </c>
      <c r="E5" s="14" t="s">
        <v>193</v>
      </c>
      <c r="F5" s="14" t="s">
        <v>194</v>
      </c>
      <c r="G5" s="14" t="s">
        <v>195</v>
      </c>
      <c r="H5" s="14" t="s">
        <v>185</v>
      </c>
      <c r="I5" s="14" t="s">
        <v>196</v>
      </c>
      <c r="J5" s="15" t="s">
        <v>187</v>
      </c>
      <c r="K5" s="16"/>
      <c r="L5" s="16"/>
    </row>
    <row r="6" spans="1:13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61" t="s">
        <v>148</v>
      </c>
      <c r="L6" s="61" t="s">
        <v>79</v>
      </c>
      <c r="M6" s="71" t="s">
        <v>147</v>
      </c>
    </row>
    <row r="7" spans="1:13" s="18" customFormat="1" ht="20.25" customHeight="1" x14ac:dyDescent="0.3">
      <c r="A7" s="254" t="s">
        <v>12</v>
      </c>
      <c r="B7" s="255"/>
      <c r="C7" s="255"/>
      <c r="D7" s="255"/>
      <c r="E7" s="255"/>
      <c r="F7" s="110"/>
      <c r="G7" s="19"/>
      <c r="H7" s="19"/>
      <c r="I7" s="141">
        <f>I8+I26+I29+I35+I43+I67+I40+I69</f>
        <v>186593105</v>
      </c>
      <c r="J7" s="11"/>
      <c r="K7" s="92"/>
      <c r="L7" s="94">
        <f>SUM(L9:L70)</f>
        <v>92194331.689999998</v>
      </c>
      <c r="M7" s="95">
        <f>I7-L7</f>
        <v>94398773.310000002</v>
      </c>
    </row>
    <row r="8" spans="1:13" s="5" customFormat="1" ht="15.75" x14ac:dyDescent="0.2">
      <c r="A8" s="117" t="s">
        <v>182</v>
      </c>
      <c r="B8" s="116"/>
      <c r="C8" s="116"/>
      <c r="D8" s="44" t="s">
        <v>9</v>
      </c>
      <c r="E8" s="9"/>
      <c r="F8" s="9" t="s">
        <v>7</v>
      </c>
      <c r="G8" s="120" t="s">
        <v>7</v>
      </c>
      <c r="H8" s="120" t="s">
        <v>186</v>
      </c>
      <c r="I8" s="115">
        <f>SUM(I9:I25)</f>
        <v>36437661</v>
      </c>
      <c r="J8" s="10" t="s">
        <v>7</v>
      </c>
      <c r="K8" s="93"/>
      <c r="L8" s="163">
        <f>SUM(L9:L25)</f>
        <v>18164202.52</v>
      </c>
      <c r="M8" s="93"/>
    </row>
    <row r="9" spans="1:13" s="16" customFormat="1" ht="18.75" x14ac:dyDescent="0.2">
      <c r="A9" s="129" t="s">
        <v>11</v>
      </c>
      <c r="B9" s="42">
        <v>6030</v>
      </c>
      <c r="C9" s="39" t="s">
        <v>18</v>
      </c>
      <c r="D9" s="58" t="s">
        <v>19</v>
      </c>
      <c r="E9" s="17" t="s">
        <v>10</v>
      </c>
      <c r="F9" s="35">
        <v>2021</v>
      </c>
      <c r="G9" s="36">
        <v>0</v>
      </c>
      <c r="H9" s="125">
        <v>0</v>
      </c>
      <c r="I9" s="36">
        <f>2464211+5750814-4691000</f>
        <v>3524025</v>
      </c>
      <c r="J9" s="37"/>
      <c r="K9" s="74">
        <v>2038</v>
      </c>
      <c r="L9" s="82">
        <f>1059200</f>
        <v>1059200</v>
      </c>
      <c r="M9" s="73">
        <f>I9-L9</f>
        <v>2464825</v>
      </c>
    </row>
    <row r="10" spans="1:13" s="16" customFormat="1" ht="51.75" customHeight="1" x14ac:dyDescent="0.2">
      <c r="A10" s="7" t="s">
        <v>63</v>
      </c>
      <c r="B10" s="42">
        <v>6040</v>
      </c>
      <c r="C10" s="39" t="s">
        <v>65</v>
      </c>
      <c r="D10" s="58" t="s">
        <v>64</v>
      </c>
      <c r="E10" s="17" t="s">
        <v>66</v>
      </c>
      <c r="F10" s="35">
        <v>2021</v>
      </c>
      <c r="G10" s="36">
        <v>5261884</v>
      </c>
      <c r="H10" s="125">
        <v>0</v>
      </c>
      <c r="I10" s="36">
        <v>1985175</v>
      </c>
      <c r="J10" s="37"/>
      <c r="K10" s="74">
        <v>2041</v>
      </c>
      <c r="L10" s="82"/>
      <c r="M10" s="73">
        <f>I10-L10</f>
        <v>1985175</v>
      </c>
    </row>
    <row r="11" spans="1:13" s="16" customFormat="1" ht="31.5" x14ac:dyDescent="0.2">
      <c r="A11" s="106" t="s">
        <v>168</v>
      </c>
      <c r="B11" s="42">
        <v>6082</v>
      </c>
      <c r="C11" s="39" t="s">
        <v>34</v>
      </c>
      <c r="D11" s="58" t="s">
        <v>169</v>
      </c>
      <c r="E11" s="17" t="s">
        <v>170</v>
      </c>
      <c r="F11" s="35">
        <v>2021</v>
      </c>
      <c r="G11" s="36">
        <v>4895627</v>
      </c>
      <c r="H11" s="125">
        <v>0</v>
      </c>
      <c r="I11" s="36">
        <v>1486688</v>
      </c>
      <c r="J11" s="37"/>
      <c r="K11" s="74">
        <v>2115</v>
      </c>
      <c r="L11" s="82"/>
      <c r="M11" s="73">
        <f>I11-L11</f>
        <v>1486688</v>
      </c>
    </row>
    <row r="12" spans="1:13" s="16" customFormat="1" ht="31.5" x14ac:dyDescent="0.25">
      <c r="A12" s="258" t="s">
        <v>126</v>
      </c>
      <c r="B12" s="260">
        <v>7330</v>
      </c>
      <c r="C12" s="205" t="s">
        <v>24</v>
      </c>
      <c r="D12" s="249" t="s">
        <v>125</v>
      </c>
      <c r="E12" s="41" t="s">
        <v>56</v>
      </c>
      <c r="F12" s="35">
        <v>2021</v>
      </c>
      <c r="G12" s="36">
        <v>0</v>
      </c>
      <c r="H12" s="125">
        <v>0</v>
      </c>
      <c r="I12" s="36">
        <v>1000000</v>
      </c>
      <c r="J12" s="37"/>
      <c r="K12" s="74">
        <v>2036</v>
      </c>
      <c r="L12" s="82"/>
      <c r="M12" s="73">
        <f t="shared" ref="M12:M104" si="0">I12-L12</f>
        <v>1000000</v>
      </c>
    </row>
    <row r="13" spans="1:13" s="70" customFormat="1" ht="18.75" x14ac:dyDescent="0.25">
      <c r="A13" s="259"/>
      <c r="B13" s="261"/>
      <c r="C13" s="217"/>
      <c r="D13" s="250"/>
      <c r="E13" s="69" t="s">
        <v>42</v>
      </c>
      <c r="F13" s="35">
        <v>2021</v>
      </c>
      <c r="G13" s="36">
        <v>0</v>
      </c>
      <c r="H13" s="125">
        <v>0</v>
      </c>
      <c r="I13" s="36">
        <f>2000000-414152</f>
        <v>1585848</v>
      </c>
      <c r="J13" s="69"/>
      <c r="K13" s="75">
        <v>2027</v>
      </c>
      <c r="L13" s="83"/>
      <c r="M13" s="73">
        <f t="shared" si="0"/>
        <v>1585848</v>
      </c>
    </row>
    <row r="14" spans="1:13" s="70" customFormat="1" ht="47.25" x14ac:dyDescent="0.25">
      <c r="A14" s="129" t="s">
        <v>197</v>
      </c>
      <c r="B14" s="130">
        <v>7361</v>
      </c>
      <c r="C14" s="129" t="s">
        <v>5</v>
      </c>
      <c r="D14" s="133" t="s">
        <v>198</v>
      </c>
      <c r="E14" s="135" t="s">
        <v>159</v>
      </c>
      <c r="F14" s="35">
        <v>2021</v>
      </c>
      <c r="G14" s="36">
        <v>25999836</v>
      </c>
      <c r="H14" s="125">
        <v>0</v>
      </c>
      <c r="I14" s="36">
        <v>7799951</v>
      </c>
      <c r="J14" s="69"/>
      <c r="K14" s="75">
        <v>2005</v>
      </c>
      <c r="L14" s="83">
        <f>2120557+2629120.33+820797.19</f>
        <v>5570474.5199999996</v>
      </c>
      <c r="M14" s="73">
        <f t="shared" si="0"/>
        <v>2229476.4800000004</v>
      </c>
    </row>
    <row r="15" spans="1:13" s="16" customFormat="1" ht="31.5" x14ac:dyDescent="0.25">
      <c r="A15" s="127" t="s">
        <v>30</v>
      </c>
      <c r="B15" s="38">
        <v>7370</v>
      </c>
      <c r="C15" s="39" t="s">
        <v>5</v>
      </c>
      <c r="D15" s="60" t="s">
        <v>31</v>
      </c>
      <c r="E15" s="40" t="s">
        <v>128</v>
      </c>
      <c r="F15" s="35">
        <v>2021</v>
      </c>
      <c r="G15" s="36">
        <f>I15</f>
        <v>4500000</v>
      </c>
      <c r="H15" s="125">
        <v>0</v>
      </c>
      <c r="I15" s="36">
        <v>4500000</v>
      </c>
      <c r="J15" s="37"/>
      <c r="K15" s="74">
        <v>2002</v>
      </c>
      <c r="L15" s="158">
        <v>4499252</v>
      </c>
      <c r="M15" s="73">
        <f>I15-L15</f>
        <v>748</v>
      </c>
    </row>
    <row r="16" spans="1:13" s="16" customFormat="1" ht="31.5" x14ac:dyDescent="0.25">
      <c r="A16" s="7" t="s">
        <v>4</v>
      </c>
      <c r="B16" s="32">
        <v>7650</v>
      </c>
      <c r="C16" s="7" t="s">
        <v>5</v>
      </c>
      <c r="D16" s="59" t="s">
        <v>13</v>
      </c>
      <c r="E16" s="34" t="s">
        <v>6</v>
      </c>
      <c r="F16" s="35">
        <v>2021</v>
      </c>
      <c r="G16" s="36">
        <v>0</v>
      </c>
      <c r="H16" s="125">
        <v>0</v>
      </c>
      <c r="I16" s="36">
        <v>100000</v>
      </c>
      <c r="J16" s="37"/>
      <c r="K16" s="74">
        <v>2001</v>
      </c>
      <c r="L16" s="158">
        <f>19300+5000+16000</f>
        <v>40300</v>
      </c>
      <c r="M16" s="73">
        <f t="shared" si="0"/>
        <v>59700</v>
      </c>
    </row>
    <row r="17" spans="1:52" s="16" customFormat="1" ht="31.5" customHeight="1" x14ac:dyDescent="0.25">
      <c r="A17" s="205" t="s">
        <v>38</v>
      </c>
      <c r="B17" s="207">
        <v>9750</v>
      </c>
      <c r="C17" s="218" t="s">
        <v>22</v>
      </c>
      <c r="D17" s="225" t="s">
        <v>256</v>
      </c>
      <c r="E17" s="41" t="s">
        <v>32</v>
      </c>
      <c r="F17" s="35">
        <v>2021</v>
      </c>
      <c r="G17" s="36">
        <v>67620674</v>
      </c>
      <c r="H17" s="125">
        <v>0.3</v>
      </c>
      <c r="I17" s="36">
        <f>5259000-2714160</f>
        <v>2544840</v>
      </c>
      <c r="J17" s="37"/>
      <c r="K17" s="74">
        <v>2003</v>
      </c>
      <c r="L17" s="82"/>
      <c r="M17" s="73">
        <f t="shared" si="0"/>
        <v>2544840</v>
      </c>
    </row>
    <row r="18" spans="1:52" s="16" customFormat="1" ht="44.25" customHeight="1" x14ac:dyDescent="0.2">
      <c r="A18" s="206"/>
      <c r="B18" s="208"/>
      <c r="C18" s="262"/>
      <c r="D18" s="231"/>
      <c r="E18" s="40" t="s">
        <v>270</v>
      </c>
      <c r="F18" s="35">
        <v>2021</v>
      </c>
      <c r="G18" s="36">
        <v>9297776</v>
      </c>
      <c r="H18" s="125">
        <v>0</v>
      </c>
      <c r="I18" s="36">
        <v>853300</v>
      </c>
      <c r="J18" s="37"/>
      <c r="K18" s="74">
        <v>2004</v>
      </c>
      <c r="L18" s="82"/>
      <c r="M18" s="73">
        <f t="shared" si="0"/>
        <v>853300</v>
      </c>
    </row>
    <row r="19" spans="1:52" s="16" customFormat="1" ht="31.5" x14ac:dyDescent="0.25">
      <c r="A19" s="211" t="s">
        <v>39</v>
      </c>
      <c r="B19" s="232">
        <v>9770</v>
      </c>
      <c r="C19" s="233" t="s">
        <v>22</v>
      </c>
      <c r="D19" s="234" t="s">
        <v>40</v>
      </c>
      <c r="E19" s="33" t="s">
        <v>49</v>
      </c>
      <c r="F19" s="35" t="s">
        <v>189</v>
      </c>
      <c r="G19" s="36">
        <v>19941203</v>
      </c>
      <c r="H19" s="125">
        <v>0</v>
      </c>
      <c r="I19" s="36">
        <f>1400000+1000000</f>
        <v>2400000</v>
      </c>
      <c r="J19" s="37"/>
      <c r="K19" s="74">
        <v>2006</v>
      </c>
      <c r="L19" s="82">
        <v>2400000</v>
      </c>
      <c r="M19" s="73">
        <f t="shared" si="0"/>
        <v>0</v>
      </c>
    </row>
    <row r="20" spans="1:52" s="16" customFormat="1" ht="18.75" x14ac:dyDescent="0.25">
      <c r="A20" s="211"/>
      <c r="B20" s="232"/>
      <c r="C20" s="233"/>
      <c r="D20" s="234"/>
      <c r="E20" s="41" t="s">
        <v>57</v>
      </c>
      <c r="F20" s="35">
        <v>2021</v>
      </c>
      <c r="G20" s="36">
        <v>39127000</v>
      </c>
      <c r="H20" s="125">
        <v>0</v>
      </c>
      <c r="I20" s="36">
        <v>2086945</v>
      </c>
      <c r="J20" s="37"/>
      <c r="K20" s="74">
        <v>2007</v>
      </c>
      <c r="L20" s="82"/>
      <c r="M20" s="73">
        <f t="shared" si="0"/>
        <v>2086945</v>
      </c>
    </row>
    <row r="21" spans="1:52" s="16" customFormat="1" ht="38.25" customHeight="1" x14ac:dyDescent="0.25">
      <c r="A21" s="211"/>
      <c r="B21" s="232"/>
      <c r="C21" s="233"/>
      <c r="D21" s="234"/>
      <c r="E21" s="41" t="s">
        <v>43</v>
      </c>
      <c r="F21" s="35">
        <v>2021</v>
      </c>
      <c r="G21" s="36">
        <v>9300000</v>
      </c>
      <c r="H21" s="125">
        <v>0</v>
      </c>
      <c r="I21" s="36">
        <f>1395000-410444</f>
        <v>984556</v>
      </c>
      <c r="J21" s="37"/>
      <c r="K21" s="74">
        <v>2011</v>
      </c>
      <c r="L21" s="82"/>
      <c r="M21" s="73">
        <f t="shared" si="0"/>
        <v>984556</v>
      </c>
    </row>
    <row r="22" spans="1:52" s="16" customFormat="1" ht="36" customHeight="1" x14ac:dyDescent="0.25">
      <c r="A22" s="211"/>
      <c r="B22" s="232"/>
      <c r="C22" s="233"/>
      <c r="D22" s="234"/>
      <c r="E22" s="41" t="s">
        <v>44</v>
      </c>
      <c r="F22" s="35">
        <v>2021</v>
      </c>
      <c r="G22" s="36">
        <v>9300000</v>
      </c>
      <c r="H22" s="125">
        <v>0</v>
      </c>
      <c r="I22" s="36">
        <f>1395000-410444</f>
        <v>984556</v>
      </c>
      <c r="J22" s="37"/>
      <c r="K22" s="74">
        <v>2012</v>
      </c>
      <c r="L22" s="82"/>
      <c r="M22" s="73">
        <f t="shared" si="0"/>
        <v>984556</v>
      </c>
    </row>
    <row r="23" spans="1:52" s="16" customFormat="1" ht="35.25" customHeight="1" x14ac:dyDescent="0.25">
      <c r="A23" s="211"/>
      <c r="B23" s="232"/>
      <c r="C23" s="233"/>
      <c r="D23" s="234"/>
      <c r="E23" s="41" t="s">
        <v>41</v>
      </c>
      <c r="F23" s="35" t="s">
        <v>215</v>
      </c>
      <c r="G23" s="36">
        <v>22473283</v>
      </c>
      <c r="H23" s="125">
        <v>0</v>
      </c>
      <c r="I23" s="36">
        <f>4495000-1640211-762788-600000-15500-1469700</f>
        <v>6801</v>
      </c>
      <c r="J23" s="37"/>
      <c r="K23" s="74">
        <v>2013</v>
      </c>
      <c r="L23" s="82"/>
      <c r="M23" s="73">
        <f t="shared" si="0"/>
        <v>6801</v>
      </c>
    </row>
    <row r="24" spans="1:52" s="16" customFormat="1" ht="36.75" customHeight="1" x14ac:dyDescent="0.25">
      <c r="A24" s="211"/>
      <c r="B24" s="232"/>
      <c r="C24" s="233"/>
      <c r="D24" s="234"/>
      <c r="E24" s="41" t="s">
        <v>71</v>
      </c>
      <c r="F24" s="35" t="s">
        <v>215</v>
      </c>
      <c r="G24" s="36">
        <v>17352090</v>
      </c>
      <c r="H24" s="125">
        <v>0</v>
      </c>
      <c r="I24" s="36">
        <v>3470418</v>
      </c>
      <c r="J24" s="37"/>
      <c r="K24" s="74">
        <v>2047</v>
      </c>
      <c r="L24" s="82">
        <v>3470418</v>
      </c>
      <c r="M24" s="73">
        <f t="shared" si="0"/>
        <v>0</v>
      </c>
    </row>
    <row r="25" spans="1:52" s="16" customFormat="1" ht="30" customHeight="1" x14ac:dyDescent="0.25">
      <c r="A25" s="211"/>
      <c r="B25" s="232"/>
      <c r="C25" s="233"/>
      <c r="D25" s="234"/>
      <c r="E25" s="41" t="s">
        <v>255</v>
      </c>
      <c r="F25" s="35">
        <v>2021</v>
      </c>
      <c r="G25" s="36">
        <v>1124558</v>
      </c>
      <c r="H25" s="125">
        <v>0</v>
      </c>
      <c r="I25" s="36">
        <v>1124558</v>
      </c>
      <c r="J25" s="37"/>
      <c r="K25" s="74">
        <v>2130</v>
      </c>
      <c r="L25" s="82">
        <v>1124558</v>
      </c>
      <c r="M25" s="73">
        <f t="shared" si="0"/>
        <v>0</v>
      </c>
    </row>
    <row r="26" spans="1:52" s="5" customFormat="1" ht="15.75" x14ac:dyDescent="0.2">
      <c r="A26" s="235"/>
      <c r="B26" s="236"/>
      <c r="C26" s="237"/>
      <c r="D26" s="48" t="s">
        <v>80</v>
      </c>
      <c r="E26" s="49"/>
      <c r="F26" s="52" t="s">
        <v>7</v>
      </c>
      <c r="G26" s="115" t="s">
        <v>7</v>
      </c>
      <c r="H26" s="115" t="s">
        <v>7</v>
      </c>
      <c r="I26" s="115">
        <f>SUM(I27:I28)</f>
        <v>2250788</v>
      </c>
      <c r="J26" s="121" t="s">
        <v>7</v>
      </c>
      <c r="K26" s="164"/>
      <c r="L26" s="164">
        <f>SUM(L27:L28)</f>
        <v>109605.01</v>
      </c>
      <c r="M26" s="164">
        <f>SUM(M27:M28)</f>
        <v>2141182.9900000002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s="16" customFormat="1" ht="39.75" customHeight="1" x14ac:dyDescent="0.2">
      <c r="A27" s="205" t="s">
        <v>25</v>
      </c>
      <c r="B27" s="207">
        <v>7441</v>
      </c>
      <c r="C27" s="218" t="s">
        <v>20</v>
      </c>
      <c r="D27" s="251" t="s">
        <v>26</v>
      </c>
      <c r="E27" s="40" t="s">
        <v>82</v>
      </c>
      <c r="F27" s="35">
        <v>2021</v>
      </c>
      <c r="G27" s="36">
        <f>I27</f>
        <v>1488000</v>
      </c>
      <c r="H27" s="125">
        <v>0</v>
      </c>
      <c r="I27" s="36">
        <v>1488000</v>
      </c>
      <c r="J27" s="37"/>
      <c r="K27" s="74">
        <v>2018</v>
      </c>
      <c r="L27" s="82">
        <v>109605.01</v>
      </c>
      <c r="M27" s="73">
        <f t="shared" si="0"/>
        <v>1378394.99</v>
      </c>
    </row>
    <row r="28" spans="1:52" s="16" customFormat="1" ht="56.25" customHeight="1" x14ac:dyDescent="0.2">
      <c r="A28" s="217"/>
      <c r="B28" s="209"/>
      <c r="C28" s="219"/>
      <c r="D28" s="252"/>
      <c r="E28" s="40" t="s">
        <v>86</v>
      </c>
      <c r="F28" s="35">
        <v>2021</v>
      </c>
      <c r="G28" s="36">
        <f>I28</f>
        <v>762788</v>
      </c>
      <c r="H28" s="125">
        <v>0</v>
      </c>
      <c r="I28" s="36">
        <v>762788</v>
      </c>
      <c r="J28" s="37"/>
      <c r="K28" s="74">
        <v>2049</v>
      </c>
      <c r="L28" s="82"/>
      <c r="M28" s="73">
        <f t="shared" si="0"/>
        <v>762788</v>
      </c>
    </row>
    <row r="29" spans="1:52" s="12" customFormat="1" ht="15.75" x14ac:dyDescent="0.25">
      <c r="A29" s="235"/>
      <c r="B29" s="236"/>
      <c r="C29" s="237"/>
      <c r="D29" s="48" t="s">
        <v>101</v>
      </c>
      <c r="E29" s="45"/>
      <c r="F29" s="52" t="s">
        <v>7</v>
      </c>
      <c r="G29" s="115" t="s">
        <v>7</v>
      </c>
      <c r="H29" s="115" t="s">
        <v>7</v>
      </c>
      <c r="I29" s="115">
        <f>SUM(I30:I34)</f>
        <v>9662800</v>
      </c>
      <c r="J29" s="121" t="s">
        <v>7</v>
      </c>
      <c r="K29" s="164"/>
      <c r="L29" s="164"/>
      <c r="M29" s="164"/>
    </row>
    <row r="30" spans="1:52" s="16" customFormat="1" ht="18.75" x14ac:dyDescent="0.25">
      <c r="A30" s="205" t="s">
        <v>11</v>
      </c>
      <c r="B30" s="256">
        <v>6030</v>
      </c>
      <c r="C30" s="205" t="s">
        <v>18</v>
      </c>
      <c r="D30" s="243" t="s">
        <v>19</v>
      </c>
      <c r="E30" s="41" t="s">
        <v>28</v>
      </c>
      <c r="F30" s="35">
        <v>2021</v>
      </c>
      <c r="G30" s="36">
        <f>I30</f>
        <v>391800</v>
      </c>
      <c r="H30" s="125">
        <v>0</v>
      </c>
      <c r="I30" s="36">
        <v>391800</v>
      </c>
      <c r="J30" s="37"/>
      <c r="K30" s="74">
        <v>2019</v>
      </c>
      <c r="L30" s="82"/>
      <c r="M30" s="73">
        <f t="shared" si="0"/>
        <v>391800</v>
      </c>
    </row>
    <row r="31" spans="1:52" s="16" customFormat="1" ht="18.75" x14ac:dyDescent="0.25">
      <c r="A31" s="217"/>
      <c r="B31" s="257"/>
      <c r="C31" s="217"/>
      <c r="D31" s="244"/>
      <c r="E31" s="41" t="s">
        <v>10</v>
      </c>
      <c r="F31" s="35">
        <v>2021</v>
      </c>
      <c r="G31" s="36">
        <v>0</v>
      </c>
      <c r="H31" s="125">
        <v>0</v>
      </c>
      <c r="I31" s="36">
        <v>4691000</v>
      </c>
      <c r="J31" s="37"/>
      <c r="K31" s="74">
        <v>2038</v>
      </c>
      <c r="L31" s="82"/>
      <c r="M31" s="73">
        <f t="shared" si="0"/>
        <v>4691000</v>
      </c>
    </row>
    <row r="32" spans="1:52" s="16" customFormat="1" ht="47.25" customHeight="1" x14ac:dyDescent="0.25">
      <c r="A32" s="242" t="s">
        <v>45</v>
      </c>
      <c r="B32" s="240">
        <v>7461</v>
      </c>
      <c r="C32" s="211" t="s">
        <v>20</v>
      </c>
      <c r="D32" s="241" t="s">
        <v>46</v>
      </c>
      <c r="E32" s="23" t="s">
        <v>178</v>
      </c>
      <c r="F32" s="35">
        <v>2021</v>
      </c>
      <c r="G32" s="36">
        <f>I32</f>
        <v>2500000</v>
      </c>
      <c r="H32" s="125">
        <v>0</v>
      </c>
      <c r="I32" s="36">
        <v>2500000</v>
      </c>
      <c r="J32" s="37"/>
      <c r="K32" s="74">
        <v>2021</v>
      </c>
      <c r="L32" s="82"/>
      <c r="M32" s="73">
        <f t="shared" si="0"/>
        <v>2500000</v>
      </c>
    </row>
    <row r="33" spans="1:52" s="16" customFormat="1" ht="34.5" customHeight="1" x14ac:dyDescent="0.25">
      <c r="A33" s="242"/>
      <c r="B33" s="240"/>
      <c r="C33" s="211"/>
      <c r="D33" s="241"/>
      <c r="E33" s="23" t="s">
        <v>47</v>
      </c>
      <c r="F33" s="35">
        <v>2021</v>
      </c>
      <c r="G33" s="36">
        <f t="shared" ref="G33:G34" si="1">I33</f>
        <v>480000</v>
      </c>
      <c r="H33" s="125">
        <v>0</v>
      </c>
      <c r="I33" s="36">
        <v>480000</v>
      </c>
      <c r="J33" s="37"/>
      <c r="K33" s="74">
        <v>2022</v>
      </c>
      <c r="L33" s="82"/>
      <c r="M33" s="73">
        <f t="shared" si="0"/>
        <v>480000</v>
      </c>
    </row>
    <row r="34" spans="1:52" s="16" customFormat="1" ht="36.75" customHeight="1" x14ac:dyDescent="0.25">
      <c r="A34" s="242"/>
      <c r="B34" s="240"/>
      <c r="C34" s="211"/>
      <c r="D34" s="241"/>
      <c r="E34" s="23" t="s">
        <v>179</v>
      </c>
      <c r="F34" s="35">
        <v>2021</v>
      </c>
      <c r="G34" s="36">
        <f t="shared" si="1"/>
        <v>1600000</v>
      </c>
      <c r="H34" s="125">
        <v>0</v>
      </c>
      <c r="I34" s="36">
        <v>1600000</v>
      </c>
      <c r="J34" s="37"/>
      <c r="K34" s="74">
        <v>2023</v>
      </c>
      <c r="L34" s="82"/>
      <c r="M34" s="73">
        <f t="shared" si="0"/>
        <v>1600000</v>
      </c>
    </row>
    <row r="35" spans="1:52" s="5" customFormat="1" ht="15.75" x14ac:dyDescent="0.2">
      <c r="A35" s="235"/>
      <c r="B35" s="236"/>
      <c r="C35" s="237"/>
      <c r="D35" s="48" t="s">
        <v>81</v>
      </c>
      <c r="E35" s="49"/>
      <c r="F35" s="52" t="s">
        <v>7</v>
      </c>
      <c r="G35" s="115" t="s">
        <v>7</v>
      </c>
      <c r="H35" s="115" t="s">
        <v>7</v>
      </c>
      <c r="I35" s="115">
        <f>SUM(I36:I39)</f>
        <v>9211716</v>
      </c>
      <c r="J35" s="121" t="s">
        <v>7</v>
      </c>
      <c r="K35" s="165"/>
      <c r="L35" s="166"/>
      <c r="M35" s="16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s="16" customFormat="1" ht="18.75" x14ac:dyDescent="0.25">
      <c r="A36" s="205" t="s">
        <v>11</v>
      </c>
      <c r="B36" s="207">
        <v>6030</v>
      </c>
      <c r="C36" s="218" t="s">
        <v>18</v>
      </c>
      <c r="D36" s="243" t="s">
        <v>19</v>
      </c>
      <c r="E36" s="41" t="s">
        <v>177</v>
      </c>
      <c r="F36" s="35">
        <v>2021</v>
      </c>
      <c r="G36" s="36">
        <f>I36</f>
        <v>9000000</v>
      </c>
      <c r="H36" s="125">
        <v>0</v>
      </c>
      <c r="I36" s="36">
        <v>9000000</v>
      </c>
      <c r="J36" s="37"/>
      <c r="K36" s="74">
        <v>2024</v>
      </c>
      <c r="L36" s="82">
        <v>2546669.15</v>
      </c>
      <c r="M36" s="73">
        <f t="shared" si="0"/>
        <v>6453330.8499999996</v>
      </c>
    </row>
    <row r="37" spans="1:52" s="16" customFormat="1" ht="18.75" x14ac:dyDescent="0.25">
      <c r="A37" s="206"/>
      <c r="B37" s="208"/>
      <c r="C37" s="262"/>
      <c r="D37" s="253"/>
      <c r="E37" s="41" t="s">
        <v>176</v>
      </c>
      <c r="F37" s="35">
        <v>2021</v>
      </c>
      <c r="G37" s="36">
        <f t="shared" ref="G37:G39" si="2">I37</f>
        <v>125200</v>
      </c>
      <c r="H37" s="125">
        <v>0</v>
      </c>
      <c r="I37" s="36">
        <v>125200</v>
      </c>
      <c r="J37" s="37"/>
      <c r="K37" s="74">
        <v>2033</v>
      </c>
      <c r="L37" s="82">
        <v>123880.86</v>
      </c>
      <c r="M37" s="73">
        <f t="shared" si="0"/>
        <v>1319.1399999999994</v>
      </c>
    </row>
    <row r="38" spans="1:52" s="16" customFormat="1" ht="47.25" x14ac:dyDescent="0.25">
      <c r="A38" s="206"/>
      <c r="B38" s="208"/>
      <c r="C38" s="262"/>
      <c r="D38" s="253"/>
      <c r="E38" s="41" t="s">
        <v>175</v>
      </c>
      <c r="F38" s="35">
        <v>2021</v>
      </c>
      <c r="G38" s="36">
        <f t="shared" si="2"/>
        <v>36750</v>
      </c>
      <c r="H38" s="125">
        <v>0</v>
      </c>
      <c r="I38" s="36">
        <v>36750</v>
      </c>
      <c r="J38" s="37"/>
      <c r="K38" s="74">
        <v>2039</v>
      </c>
      <c r="L38" s="82"/>
      <c r="M38" s="73">
        <f t="shared" si="0"/>
        <v>36750</v>
      </c>
    </row>
    <row r="39" spans="1:52" s="16" customFormat="1" ht="47.25" x14ac:dyDescent="0.25">
      <c r="A39" s="217"/>
      <c r="B39" s="209"/>
      <c r="C39" s="219"/>
      <c r="D39" s="244"/>
      <c r="E39" s="41" t="s">
        <v>174</v>
      </c>
      <c r="F39" s="35">
        <v>2021</v>
      </c>
      <c r="G39" s="36">
        <f t="shared" si="2"/>
        <v>49766</v>
      </c>
      <c r="H39" s="125">
        <v>0</v>
      </c>
      <c r="I39" s="36">
        <v>49766</v>
      </c>
      <c r="J39" s="37"/>
      <c r="K39" s="74">
        <v>2040</v>
      </c>
      <c r="L39" s="82"/>
      <c r="M39" s="73">
        <f t="shared" si="0"/>
        <v>49766</v>
      </c>
    </row>
    <row r="40" spans="1:52" ht="31.5" x14ac:dyDescent="0.2">
      <c r="A40" s="235"/>
      <c r="B40" s="236"/>
      <c r="C40" s="237"/>
      <c r="D40" s="56" t="s">
        <v>27</v>
      </c>
      <c r="E40" s="49"/>
      <c r="F40" s="52" t="s">
        <v>7</v>
      </c>
      <c r="G40" s="115" t="s">
        <v>7</v>
      </c>
      <c r="H40" s="115" t="s">
        <v>7</v>
      </c>
      <c r="I40" s="115">
        <f>SUM(I41:I42)</f>
        <v>4223551</v>
      </c>
      <c r="J40" s="121" t="s">
        <v>7</v>
      </c>
      <c r="K40" s="76"/>
      <c r="L40" s="84"/>
      <c r="M40" s="73">
        <f t="shared" si="0"/>
        <v>4223551</v>
      </c>
    </row>
    <row r="41" spans="1:52" s="16" customFormat="1" ht="47.25" x14ac:dyDescent="0.2">
      <c r="A41" s="7" t="s">
        <v>83</v>
      </c>
      <c r="B41" s="42">
        <v>2111</v>
      </c>
      <c r="C41" s="39" t="s">
        <v>85</v>
      </c>
      <c r="D41" s="66" t="s">
        <v>84</v>
      </c>
      <c r="E41" s="40" t="s">
        <v>10</v>
      </c>
      <c r="F41" s="35">
        <v>2021</v>
      </c>
      <c r="G41" s="36">
        <v>0</v>
      </c>
      <c r="H41" s="125">
        <v>0</v>
      </c>
      <c r="I41" s="36">
        <v>600000</v>
      </c>
      <c r="J41" s="37"/>
      <c r="K41" s="75">
        <v>2050</v>
      </c>
      <c r="L41" s="82">
        <f>510000+65000</f>
        <v>575000</v>
      </c>
      <c r="M41" s="73">
        <f t="shared" si="0"/>
        <v>25000</v>
      </c>
      <c r="N41" s="16" t="s">
        <v>224</v>
      </c>
    </row>
    <row r="42" spans="1:52" s="16" customFormat="1" ht="31.5" x14ac:dyDescent="0.2">
      <c r="A42" s="177" t="s">
        <v>29</v>
      </c>
      <c r="B42" s="42">
        <v>7322</v>
      </c>
      <c r="C42" s="178" t="s">
        <v>211</v>
      </c>
      <c r="D42" s="179" t="s">
        <v>68</v>
      </c>
      <c r="E42" s="40" t="s">
        <v>216</v>
      </c>
      <c r="F42" s="35">
        <v>2021</v>
      </c>
      <c r="G42" s="36">
        <v>3696403</v>
      </c>
      <c r="H42" s="125">
        <v>0</v>
      </c>
      <c r="I42" s="36">
        <v>3623551</v>
      </c>
      <c r="J42" s="37"/>
      <c r="K42" s="75">
        <v>2118</v>
      </c>
      <c r="L42" s="82">
        <v>49580</v>
      </c>
      <c r="M42" s="73">
        <f t="shared" si="0"/>
        <v>3573971</v>
      </c>
    </row>
    <row r="43" spans="1:52" s="5" customFormat="1" ht="18.75" x14ac:dyDescent="0.25">
      <c r="A43" s="112" t="s">
        <v>181</v>
      </c>
      <c r="B43" s="43"/>
      <c r="C43" s="43"/>
      <c r="D43" s="44" t="s">
        <v>77</v>
      </c>
      <c r="E43" s="45"/>
      <c r="F43" s="52" t="s">
        <v>7</v>
      </c>
      <c r="G43" s="115" t="s">
        <v>7</v>
      </c>
      <c r="H43" s="115" t="s">
        <v>7</v>
      </c>
      <c r="I43" s="115">
        <f>SUM(I44:I66)</f>
        <v>123925089</v>
      </c>
      <c r="J43" s="121" t="s">
        <v>7</v>
      </c>
      <c r="K43" s="168"/>
      <c r="L43" s="169"/>
      <c r="M43" s="170"/>
    </row>
    <row r="44" spans="1:52" s="16" customFormat="1" ht="36.75" customHeight="1" x14ac:dyDescent="0.25">
      <c r="A44" s="194" t="s">
        <v>291</v>
      </c>
      <c r="B44" s="195">
        <v>1021</v>
      </c>
      <c r="C44" s="194" t="s">
        <v>231</v>
      </c>
      <c r="D44" s="193" t="s">
        <v>292</v>
      </c>
      <c r="E44" s="140" t="s">
        <v>300</v>
      </c>
      <c r="F44" s="35">
        <v>2021</v>
      </c>
      <c r="G44" s="36">
        <v>0</v>
      </c>
      <c r="H44" s="125">
        <v>0</v>
      </c>
      <c r="I44" s="36">
        <v>248352</v>
      </c>
      <c r="J44" s="37"/>
      <c r="K44" s="74">
        <v>2173</v>
      </c>
      <c r="L44" s="196"/>
      <c r="M44" s="196"/>
    </row>
    <row r="45" spans="1:52" s="16" customFormat="1" ht="31.5" x14ac:dyDescent="0.25">
      <c r="A45" s="211" t="s">
        <v>23</v>
      </c>
      <c r="B45" s="245">
        <v>7321</v>
      </c>
      <c r="C45" s="210" t="s">
        <v>24</v>
      </c>
      <c r="D45" s="245" t="s">
        <v>50</v>
      </c>
      <c r="E45" s="140" t="s">
        <v>201</v>
      </c>
      <c r="F45" s="35">
        <v>2021</v>
      </c>
      <c r="G45" s="118">
        <f>I45</f>
        <v>3573300</v>
      </c>
      <c r="H45" s="123">
        <v>0</v>
      </c>
      <c r="I45" s="118">
        <v>3573300</v>
      </c>
      <c r="J45" s="37"/>
      <c r="K45" s="74">
        <v>2015</v>
      </c>
      <c r="L45" s="82">
        <v>49668</v>
      </c>
      <c r="M45" s="73">
        <f t="shared" si="0"/>
        <v>3523632</v>
      </c>
    </row>
    <row r="46" spans="1:52" s="16" customFormat="1" ht="31.5" x14ac:dyDescent="0.25">
      <c r="A46" s="211"/>
      <c r="B46" s="245"/>
      <c r="C46" s="210"/>
      <c r="D46" s="245"/>
      <c r="E46" s="140" t="s">
        <v>48</v>
      </c>
      <c r="F46" s="35">
        <v>2021</v>
      </c>
      <c r="G46" s="118">
        <f>I46</f>
        <v>3960000</v>
      </c>
      <c r="H46" s="123">
        <v>0</v>
      </c>
      <c r="I46" s="36">
        <v>3960000</v>
      </c>
      <c r="J46" s="37"/>
      <c r="K46" s="74">
        <v>2016</v>
      </c>
      <c r="L46" s="82"/>
      <c r="M46" s="73">
        <f t="shared" si="0"/>
        <v>3960000</v>
      </c>
    </row>
    <row r="47" spans="1:52" s="16" customFormat="1" ht="31.5" x14ac:dyDescent="0.25">
      <c r="A47" s="211"/>
      <c r="B47" s="245"/>
      <c r="C47" s="210"/>
      <c r="D47" s="245"/>
      <c r="E47" s="140" t="s">
        <v>200</v>
      </c>
      <c r="F47" s="35" t="s">
        <v>189</v>
      </c>
      <c r="G47" s="118">
        <v>158216750</v>
      </c>
      <c r="H47" s="123">
        <v>0</v>
      </c>
      <c r="I47" s="36">
        <v>26357340</v>
      </c>
      <c r="J47" s="37"/>
      <c r="K47" s="74">
        <v>2017</v>
      </c>
      <c r="L47" s="158">
        <f>3166666.67+16237.69+591828.1</f>
        <v>3774732.46</v>
      </c>
      <c r="M47" s="73">
        <f t="shared" si="0"/>
        <v>22582607.539999999</v>
      </c>
    </row>
    <row r="48" spans="1:52" s="16" customFormat="1" ht="42.75" customHeight="1" x14ac:dyDescent="0.25">
      <c r="A48" s="211"/>
      <c r="B48" s="245"/>
      <c r="C48" s="210"/>
      <c r="D48" s="245"/>
      <c r="E48" s="140" t="s">
        <v>203</v>
      </c>
      <c r="F48" s="35">
        <v>2021</v>
      </c>
      <c r="G48" s="118">
        <f>I48</f>
        <v>307000</v>
      </c>
      <c r="H48" s="123">
        <v>0</v>
      </c>
      <c r="I48" s="36">
        <v>307000</v>
      </c>
      <c r="J48" s="37"/>
      <c r="K48" s="74">
        <v>2034</v>
      </c>
      <c r="L48" s="82"/>
      <c r="M48" s="73">
        <f t="shared" si="0"/>
        <v>307000</v>
      </c>
    </row>
    <row r="49" spans="1:52" s="16" customFormat="1" ht="31.5" x14ac:dyDescent="0.25">
      <c r="A49" s="211"/>
      <c r="B49" s="245"/>
      <c r="C49" s="210"/>
      <c r="D49" s="245"/>
      <c r="E49" s="140" t="s">
        <v>247</v>
      </c>
      <c r="F49" s="35">
        <v>2021</v>
      </c>
      <c r="G49" s="118">
        <f>I49</f>
        <v>1180246</v>
      </c>
      <c r="H49" s="123">
        <v>0</v>
      </c>
      <c r="I49" s="36">
        <f>123000+1057246</f>
        <v>1180246</v>
      </c>
      <c r="J49" s="37"/>
      <c r="K49" s="74">
        <v>2035</v>
      </c>
      <c r="L49" s="82"/>
      <c r="M49" s="73">
        <f t="shared" si="0"/>
        <v>1180246</v>
      </c>
    </row>
    <row r="50" spans="1:52" s="16" customFormat="1" ht="27" customHeight="1" x14ac:dyDescent="0.25">
      <c r="A50" s="211"/>
      <c r="B50" s="245"/>
      <c r="C50" s="210"/>
      <c r="D50" s="245"/>
      <c r="E50" s="140" t="s">
        <v>202</v>
      </c>
      <c r="F50" s="35" t="s">
        <v>189</v>
      </c>
      <c r="G50" s="118">
        <v>67620674</v>
      </c>
      <c r="H50" s="123">
        <v>0.3</v>
      </c>
      <c r="I50" s="36">
        <v>2714160</v>
      </c>
      <c r="J50" s="37"/>
      <c r="K50" s="74">
        <v>2003</v>
      </c>
      <c r="L50" s="82">
        <v>2714159.04</v>
      </c>
      <c r="M50" s="73">
        <f t="shared" si="0"/>
        <v>0.9599999999627471</v>
      </c>
    </row>
    <row r="51" spans="1:52" s="16" customFormat="1" ht="39" customHeight="1" x14ac:dyDescent="0.25">
      <c r="A51" s="211"/>
      <c r="B51" s="245"/>
      <c r="C51" s="210"/>
      <c r="D51" s="245"/>
      <c r="E51" s="140" t="s">
        <v>207</v>
      </c>
      <c r="F51" s="35">
        <v>2021</v>
      </c>
      <c r="G51" s="118">
        <v>13801319</v>
      </c>
      <c r="H51" s="123">
        <v>0</v>
      </c>
      <c r="I51" s="36">
        <v>1483886</v>
      </c>
      <c r="J51" s="37"/>
      <c r="K51" s="74">
        <v>2046</v>
      </c>
      <c r="L51" s="82">
        <v>289024.07</v>
      </c>
      <c r="M51" s="73">
        <f t="shared" si="0"/>
        <v>1194861.93</v>
      </c>
    </row>
    <row r="52" spans="1:52" s="16" customFormat="1" ht="68.25" customHeight="1" x14ac:dyDescent="0.25">
      <c r="A52" s="211"/>
      <c r="B52" s="245"/>
      <c r="C52" s="210"/>
      <c r="D52" s="245"/>
      <c r="E52" s="153" t="s">
        <v>245</v>
      </c>
      <c r="F52" s="35">
        <v>2021</v>
      </c>
      <c r="G52" s="157">
        <v>127980</v>
      </c>
      <c r="H52" s="123">
        <v>0</v>
      </c>
      <c r="I52" s="36">
        <v>127980</v>
      </c>
      <c r="J52" s="37"/>
      <c r="K52" s="74">
        <v>2132</v>
      </c>
      <c r="L52" s="82">
        <f>18067.16+35825.38</f>
        <v>53892.539999999994</v>
      </c>
      <c r="M52" s="73">
        <f t="shared" si="0"/>
        <v>74087.460000000006</v>
      </c>
    </row>
    <row r="53" spans="1:52" s="16" customFormat="1" ht="64.5" customHeight="1" x14ac:dyDescent="0.25">
      <c r="A53" s="211"/>
      <c r="B53" s="245"/>
      <c r="C53" s="210"/>
      <c r="D53" s="245"/>
      <c r="E53" s="153" t="s">
        <v>246</v>
      </c>
      <c r="F53" s="35">
        <v>2021</v>
      </c>
      <c r="G53" s="157">
        <v>30780</v>
      </c>
      <c r="H53" s="123">
        <v>0</v>
      </c>
      <c r="I53" s="36">
        <v>30780</v>
      </c>
      <c r="J53" s="37"/>
      <c r="K53" s="74">
        <v>2133</v>
      </c>
      <c r="L53" s="82">
        <v>21060</v>
      </c>
      <c r="M53" s="73">
        <f t="shared" si="0"/>
        <v>9720</v>
      </c>
    </row>
    <row r="54" spans="1:52" s="16" customFormat="1" ht="41.25" customHeight="1" x14ac:dyDescent="0.25">
      <c r="A54" s="211"/>
      <c r="B54" s="245"/>
      <c r="C54" s="210"/>
      <c r="D54" s="245"/>
      <c r="E54" s="153" t="s">
        <v>248</v>
      </c>
      <c r="F54" s="35">
        <v>2021</v>
      </c>
      <c r="G54" s="157">
        <v>134450</v>
      </c>
      <c r="H54" s="123">
        <v>0</v>
      </c>
      <c r="I54" s="36">
        <v>134450</v>
      </c>
      <c r="J54" s="37"/>
      <c r="K54" s="74">
        <v>2134</v>
      </c>
      <c r="L54" s="82">
        <f>13323.43+21060+36789.05+4249.64</f>
        <v>75422.12000000001</v>
      </c>
      <c r="M54" s="73">
        <f t="shared" si="0"/>
        <v>59027.87999999999</v>
      </c>
    </row>
    <row r="55" spans="1:52" s="16" customFormat="1" ht="47.25" customHeight="1" x14ac:dyDescent="0.25">
      <c r="A55" s="211"/>
      <c r="B55" s="245"/>
      <c r="C55" s="210"/>
      <c r="D55" s="245"/>
      <c r="E55" s="153" t="s">
        <v>249</v>
      </c>
      <c r="F55" s="35">
        <v>2021</v>
      </c>
      <c r="G55" s="157">
        <v>38880</v>
      </c>
      <c r="H55" s="123">
        <v>0</v>
      </c>
      <c r="I55" s="36">
        <v>38880</v>
      </c>
      <c r="J55" s="37"/>
      <c r="K55" s="74">
        <v>2135</v>
      </c>
      <c r="L55" s="82"/>
      <c r="M55" s="73">
        <f t="shared" si="0"/>
        <v>38880</v>
      </c>
    </row>
    <row r="56" spans="1:52" s="16" customFormat="1" ht="34.5" customHeight="1" x14ac:dyDescent="0.25">
      <c r="A56" s="211"/>
      <c r="B56" s="245"/>
      <c r="C56" s="210"/>
      <c r="D56" s="245"/>
      <c r="E56" s="153" t="s">
        <v>250</v>
      </c>
      <c r="F56" s="35">
        <v>2021</v>
      </c>
      <c r="G56" s="157">
        <v>289310</v>
      </c>
      <c r="H56" s="123">
        <v>0</v>
      </c>
      <c r="I56" s="36">
        <v>289310</v>
      </c>
      <c r="J56" s="37"/>
      <c r="K56" s="74">
        <v>2136</v>
      </c>
      <c r="L56" s="82">
        <v>289309.64</v>
      </c>
      <c r="M56" s="73">
        <f t="shared" si="0"/>
        <v>0.35999999998603016</v>
      </c>
    </row>
    <row r="57" spans="1:52" s="16" customFormat="1" ht="43.5" customHeight="1" x14ac:dyDescent="0.25">
      <c r="A57" s="211"/>
      <c r="B57" s="245"/>
      <c r="C57" s="210"/>
      <c r="D57" s="245"/>
      <c r="E57" s="153" t="s">
        <v>251</v>
      </c>
      <c r="F57" s="35">
        <v>2021</v>
      </c>
      <c r="G57" s="157">
        <v>476280</v>
      </c>
      <c r="H57" s="123">
        <v>0</v>
      </c>
      <c r="I57" s="36">
        <v>476280</v>
      </c>
      <c r="J57" s="37"/>
      <c r="K57" s="74">
        <v>2137</v>
      </c>
      <c r="L57" s="82">
        <f>72446.73+42274.08+30223.94+35140.62+43102.39+56236.29</f>
        <v>279424.05</v>
      </c>
      <c r="M57" s="73">
        <f t="shared" si="0"/>
        <v>196855.95</v>
      </c>
    </row>
    <row r="58" spans="1:52" s="16" customFormat="1" ht="42.75" customHeight="1" x14ac:dyDescent="0.25">
      <c r="A58" s="211"/>
      <c r="B58" s="245"/>
      <c r="C58" s="210"/>
      <c r="D58" s="245"/>
      <c r="E58" s="153" t="s">
        <v>252</v>
      </c>
      <c r="F58" s="35">
        <v>2021</v>
      </c>
      <c r="G58" s="157">
        <v>894230</v>
      </c>
      <c r="H58" s="123">
        <v>0</v>
      </c>
      <c r="I58" s="154">
        <v>894230</v>
      </c>
      <c r="J58" s="37"/>
      <c r="K58" s="74">
        <v>2138</v>
      </c>
      <c r="L58" s="82">
        <f>136520</f>
        <v>136520</v>
      </c>
      <c r="M58" s="73">
        <f t="shared" si="0"/>
        <v>757710</v>
      </c>
    </row>
    <row r="59" spans="1:52" s="16" customFormat="1" ht="46.5" customHeight="1" x14ac:dyDescent="0.25">
      <c r="A59" s="211"/>
      <c r="B59" s="245"/>
      <c r="C59" s="210"/>
      <c r="D59" s="245"/>
      <c r="E59" s="153" t="s">
        <v>253</v>
      </c>
      <c r="F59" s="35">
        <v>2021</v>
      </c>
      <c r="G59" s="157">
        <v>98099</v>
      </c>
      <c r="H59" s="123">
        <v>0</v>
      </c>
      <c r="I59" s="154">
        <v>98099</v>
      </c>
      <c r="J59" s="37"/>
      <c r="K59" s="74">
        <v>2139</v>
      </c>
      <c r="L59" s="82"/>
      <c r="M59" s="73">
        <f t="shared" si="0"/>
        <v>98099</v>
      </c>
    </row>
    <row r="60" spans="1:52" s="16" customFormat="1" ht="46.5" customHeight="1" x14ac:dyDescent="0.25">
      <c r="A60" s="211"/>
      <c r="B60" s="245"/>
      <c r="C60" s="210"/>
      <c r="D60" s="245"/>
      <c r="E60" s="153" t="s">
        <v>299</v>
      </c>
      <c r="F60" s="35">
        <v>2021</v>
      </c>
      <c r="G60" s="118">
        <v>165800</v>
      </c>
      <c r="H60" s="123">
        <v>0</v>
      </c>
      <c r="I60" s="36">
        <v>165800</v>
      </c>
      <c r="J60" s="37"/>
      <c r="K60" s="74">
        <v>2172</v>
      </c>
      <c r="L60" s="82"/>
      <c r="M60" s="73">
        <f t="shared" si="0"/>
        <v>165800</v>
      </c>
    </row>
    <row r="61" spans="1:52" s="16" customFormat="1" ht="19.5" customHeight="1" x14ac:dyDescent="0.2">
      <c r="A61" s="214" t="s">
        <v>149</v>
      </c>
      <c r="B61" s="215"/>
      <c r="C61" s="215"/>
      <c r="D61" s="215"/>
      <c r="E61" s="215"/>
      <c r="F61" s="215"/>
      <c r="G61" s="215"/>
      <c r="H61" s="215"/>
      <c r="I61" s="215"/>
      <c r="J61" s="216"/>
      <c r="K61" s="171"/>
      <c r="L61" s="172"/>
      <c r="M61" s="173"/>
    </row>
    <row r="62" spans="1:52" s="16" customFormat="1" ht="31.5" x14ac:dyDescent="0.25">
      <c r="A62" s="205" t="s">
        <v>69</v>
      </c>
      <c r="B62" s="225">
        <v>7368</v>
      </c>
      <c r="C62" s="205" t="s">
        <v>5</v>
      </c>
      <c r="D62" s="225" t="s">
        <v>70</v>
      </c>
      <c r="E62" s="41" t="s">
        <v>172</v>
      </c>
      <c r="F62" s="35" t="s">
        <v>189</v>
      </c>
      <c r="G62" s="36">
        <v>67620674</v>
      </c>
      <c r="H62" s="124">
        <v>0.3</v>
      </c>
      <c r="I62" s="36">
        <f>30000000-22754622</f>
        <v>7245378</v>
      </c>
      <c r="J62" s="37"/>
      <c r="K62" s="74">
        <v>2044</v>
      </c>
      <c r="L62" s="159">
        <f>4822676.23+949801.15+1321254.96</f>
        <v>7093732.3400000008</v>
      </c>
      <c r="M62" s="73">
        <f t="shared" si="0"/>
        <v>151645.65999999922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s="16" customFormat="1" ht="53.25" customHeight="1" x14ac:dyDescent="0.25">
      <c r="A63" s="206"/>
      <c r="B63" s="231"/>
      <c r="C63" s="206"/>
      <c r="D63" s="231"/>
      <c r="E63" s="41" t="s">
        <v>241</v>
      </c>
      <c r="F63" s="35">
        <v>2021</v>
      </c>
      <c r="G63" s="36">
        <v>9513572</v>
      </c>
      <c r="H63" s="123">
        <v>0</v>
      </c>
      <c r="I63" s="36">
        <v>3458984</v>
      </c>
      <c r="J63" s="37"/>
      <c r="K63" s="74">
        <v>2045</v>
      </c>
      <c r="L63" s="159">
        <f>2400009.16+948682.46</f>
        <v>3348691.62</v>
      </c>
      <c r="M63" s="73">
        <f t="shared" si="0"/>
        <v>110292.37999999989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s="16" customFormat="1" ht="40.5" customHeight="1" x14ac:dyDescent="0.25">
      <c r="A64" s="206"/>
      <c r="B64" s="231"/>
      <c r="C64" s="206"/>
      <c r="D64" s="231"/>
      <c r="E64" s="126" t="s">
        <v>208</v>
      </c>
      <c r="F64" s="35">
        <v>2021</v>
      </c>
      <c r="G64" s="36">
        <v>13801319</v>
      </c>
      <c r="H64" s="123">
        <v>0</v>
      </c>
      <c r="I64" s="36">
        <v>5970687</v>
      </c>
      <c r="J64" s="37"/>
      <c r="K64" s="74">
        <v>2046</v>
      </c>
      <c r="L64" s="86">
        <f>2730000+2370897.32+869789.68</f>
        <v>5970687</v>
      </c>
      <c r="M64" s="73">
        <f t="shared" si="0"/>
        <v>0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s="16" customFormat="1" ht="40.5" customHeight="1" x14ac:dyDescent="0.25">
      <c r="A65" s="217"/>
      <c r="B65" s="226"/>
      <c r="C65" s="217"/>
      <c r="D65" s="226"/>
      <c r="E65" s="156" t="s">
        <v>240</v>
      </c>
      <c r="F65" s="35">
        <v>2021</v>
      </c>
      <c r="G65" s="36">
        <v>80066712</v>
      </c>
      <c r="H65" s="123">
        <v>0.6</v>
      </c>
      <c r="I65" s="36">
        <v>30000000</v>
      </c>
      <c r="J65" s="37"/>
      <c r="K65" s="74">
        <v>2129</v>
      </c>
      <c r="L65" s="86">
        <f>14643439.1+15356560.85</f>
        <v>29999999.949999999</v>
      </c>
      <c r="M65" s="73">
        <f t="shared" si="0"/>
        <v>5.000000074505806E-2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s="16" customFormat="1" ht="31.5" x14ac:dyDescent="0.25">
      <c r="A66" s="98" t="s">
        <v>145</v>
      </c>
      <c r="B66" s="99">
        <v>7366</v>
      </c>
      <c r="C66" s="89" t="s">
        <v>5</v>
      </c>
      <c r="D66" s="32" t="s">
        <v>146</v>
      </c>
      <c r="E66" s="41" t="s">
        <v>209</v>
      </c>
      <c r="F66" s="35" t="s">
        <v>189</v>
      </c>
      <c r="G66" s="36">
        <v>158216750</v>
      </c>
      <c r="H66" s="123">
        <v>0</v>
      </c>
      <c r="I66" s="36">
        <v>35169947</v>
      </c>
      <c r="J66" s="37"/>
      <c r="K66" s="74">
        <v>2097</v>
      </c>
      <c r="L66" s="159">
        <v>15833333.33</v>
      </c>
      <c r="M66" s="73">
        <f t="shared" si="0"/>
        <v>19336613.670000002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s="5" customFormat="1" ht="31.5" x14ac:dyDescent="0.25">
      <c r="A67" s="112" t="s">
        <v>184</v>
      </c>
      <c r="B67" s="43"/>
      <c r="C67" s="43"/>
      <c r="D67" s="44" t="s">
        <v>76</v>
      </c>
      <c r="E67" s="45"/>
      <c r="F67" s="52" t="s">
        <v>7</v>
      </c>
      <c r="G67" s="115" t="s">
        <v>7</v>
      </c>
      <c r="H67" s="115" t="s">
        <v>7</v>
      </c>
      <c r="I67" s="115">
        <f>I68</f>
        <v>866000</v>
      </c>
      <c r="J67" s="121" t="s">
        <v>7</v>
      </c>
      <c r="K67" s="77"/>
      <c r="L67" s="85"/>
      <c r="M67" s="73">
        <f t="shared" si="0"/>
        <v>866000</v>
      </c>
    </row>
    <row r="68" spans="1:52" s="16" customFormat="1" ht="35.25" customHeight="1" x14ac:dyDescent="0.25">
      <c r="A68" s="7" t="s">
        <v>73</v>
      </c>
      <c r="B68" s="54" t="s">
        <v>72</v>
      </c>
      <c r="C68" s="8" t="s">
        <v>16</v>
      </c>
      <c r="D68" s="32" t="s">
        <v>74</v>
      </c>
      <c r="E68" s="41" t="s">
        <v>75</v>
      </c>
      <c r="F68" s="35">
        <v>2021</v>
      </c>
      <c r="G68" s="118">
        <f>I68</f>
        <v>866000</v>
      </c>
      <c r="H68" s="123">
        <v>0</v>
      </c>
      <c r="I68" s="118">
        <v>866000</v>
      </c>
      <c r="J68" s="37"/>
      <c r="K68" s="74">
        <v>2048</v>
      </c>
      <c r="L68" s="82">
        <f>49516+237154.63+283962.35</f>
        <v>570632.98</v>
      </c>
      <c r="M68" s="73">
        <f>I68-L68</f>
        <v>295367.02</v>
      </c>
    </row>
    <row r="69" spans="1:52" s="65" customFormat="1" ht="15.75" x14ac:dyDescent="0.25">
      <c r="A69" s="112" t="s">
        <v>183</v>
      </c>
      <c r="B69" s="47"/>
      <c r="C69" s="62"/>
      <c r="D69" s="63" t="s">
        <v>87</v>
      </c>
      <c r="E69" s="64"/>
      <c r="F69" s="52" t="s">
        <v>7</v>
      </c>
      <c r="G69" s="115" t="s">
        <v>7</v>
      </c>
      <c r="H69" s="115" t="s">
        <v>7</v>
      </c>
      <c r="I69" s="115">
        <f>I70</f>
        <v>15500</v>
      </c>
      <c r="J69" s="121" t="s">
        <v>7</v>
      </c>
      <c r="K69" s="72"/>
      <c r="L69" s="86"/>
      <c r="M69" s="73">
        <f t="shared" si="0"/>
        <v>15500</v>
      </c>
    </row>
    <row r="70" spans="1:52" s="16" customFormat="1" ht="18.75" x14ac:dyDescent="0.2">
      <c r="A70" s="7" t="s">
        <v>88</v>
      </c>
      <c r="B70" s="38">
        <v>5041</v>
      </c>
      <c r="C70" s="67" t="s">
        <v>90</v>
      </c>
      <c r="D70" s="68" t="s">
        <v>89</v>
      </c>
      <c r="E70" s="17" t="s">
        <v>10</v>
      </c>
      <c r="F70" s="35">
        <v>2021</v>
      </c>
      <c r="G70" s="36">
        <v>0</v>
      </c>
      <c r="H70" s="123">
        <v>0</v>
      </c>
      <c r="I70" s="36">
        <v>15500</v>
      </c>
      <c r="J70" s="37"/>
      <c r="K70" s="74">
        <v>2051</v>
      </c>
      <c r="L70" s="87">
        <v>15500</v>
      </c>
      <c r="M70" s="73">
        <f t="shared" si="0"/>
        <v>0</v>
      </c>
      <c r="N70" s="16" t="s">
        <v>106</v>
      </c>
    </row>
    <row r="71" spans="1:52" s="18" customFormat="1" ht="20.25" x14ac:dyDescent="0.3">
      <c r="A71" s="238" t="s">
        <v>14</v>
      </c>
      <c r="B71" s="239"/>
      <c r="C71" s="239"/>
      <c r="D71" s="239"/>
      <c r="E71" s="239"/>
      <c r="F71" s="122" t="s">
        <v>7</v>
      </c>
      <c r="G71" s="113" t="s">
        <v>7</v>
      </c>
      <c r="H71" s="113" t="s">
        <v>7</v>
      </c>
      <c r="I71" s="113">
        <f>I72+I90+I96+I98+I161+I150+I159+I199+I207+I210+I203</f>
        <v>167540798.71000001</v>
      </c>
      <c r="J71" s="122" t="s">
        <v>7</v>
      </c>
      <c r="K71" s="90"/>
      <c r="L71" s="91">
        <f>SUM(L72:L211)</f>
        <v>57931097.550000012</v>
      </c>
      <c r="M71" s="91">
        <f>I71-L71</f>
        <v>109609701.16</v>
      </c>
    </row>
    <row r="72" spans="1:52" s="5" customFormat="1" ht="18.75" x14ac:dyDescent="0.2">
      <c r="A72" s="112" t="s">
        <v>182</v>
      </c>
      <c r="B72" s="51"/>
      <c r="C72" s="50"/>
      <c r="D72" s="44" t="s">
        <v>9</v>
      </c>
      <c r="E72" s="52"/>
      <c r="F72" s="52" t="s">
        <v>7</v>
      </c>
      <c r="G72" s="115" t="s">
        <v>7</v>
      </c>
      <c r="H72" s="115" t="s">
        <v>7</v>
      </c>
      <c r="I72" s="114">
        <f>SUM(I73:I84)+I86+I87+I88+I89</f>
        <v>24957374</v>
      </c>
      <c r="J72" s="121" t="s">
        <v>7</v>
      </c>
      <c r="K72" s="168"/>
      <c r="L72" s="169"/>
      <c r="M72" s="170"/>
    </row>
    <row r="73" spans="1:52" s="16" customFormat="1" ht="63" x14ac:dyDescent="0.2">
      <c r="A73" s="53" t="s">
        <v>8</v>
      </c>
      <c r="B73" s="54" t="s">
        <v>15</v>
      </c>
      <c r="C73" s="7" t="s">
        <v>16</v>
      </c>
      <c r="D73" s="32" t="s">
        <v>17</v>
      </c>
      <c r="E73" s="17" t="s">
        <v>10</v>
      </c>
      <c r="F73" s="35">
        <v>2021</v>
      </c>
      <c r="G73" s="36">
        <v>0</v>
      </c>
      <c r="H73" s="125">
        <v>0</v>
      </c>
      <c r="I73" s="36">
        <f>662000-24800+1270000</f>
        <v>1907200</v>
      </c>
      <c r="J73" s="37"/>
      <c r="K73" s="74">
        <v>2026</v>
      </c>
      <c r="L73" s="82">
        <f>76930+1226400+107475+64120</f>
        <v>1474925</v>
      </c>
      <c r="M73" s="73">
        <f t="shared" si="0"/>
        <v>432275</v>
      </c>
      <c r="N73" s="16" t="s">
        <v>221</v>
      </c>
    </row>
    <row r="74" spans="1:52" s="16" customFormat="1" ht="18.75" x14ac:dyDescent="0.2">
      <c r="A74" s="53" t="s">
        <v>98</v>
      </c>
      <c r="B74" s="54">
        <v>8230</v>
      </c>
      <c r="C74" s="7" t="s">
        <v>100</v>
      </c>
      <c r="D74" s="32" t="s">
        <v>99</v>
      </c>
      <c r="E74" s="17" t="s">
        <v>10</v>
      </c>
      <c r="F74" s="35">
        <v>2021</v>
      </c>
      <c r="G74" s="36">
        <v>0</v>
      </c>
      <c r="H74" s="125">
        <v>0</v>
      </c>
      <c r="I74" s="36">
        <v>1905000</v>
      </c>
      <c r="J74" s="37"/>
      <c r="K74" s="74">
        <v>2055</v>
      </c>
      <c r="L74" s="158">
        <v>1839600</v>
      </c>
      <c r="M74" s="73">
        <f t="shared" si="0"/>
        <v>65400</v>
      </c>
      <c r="N74" s="16" t="s">
        <v>217</v>
      </c>
    </row>
    <row r="75" spans="1:52" s="16" customFormat="1" ht="47.25" x14ac:dyDescent="0.2">
      <c r="A75" s="205" t="s">
        <v>63</v>
      </c>
      <c r="B75" s="207">
        <v>6040</v>
      </c>
      <c r="C75" s="218" t="s">
        <v>65</v>
      </c>
      <c r="D75" s="243" t="s">
        <v>64</v>
      </c>
      <c r="E75" s="17" t="s">
        <v>103</v>
      </c>
      <c r="F75" s="35">
        <v>2021</v>
      </c>
      <c r="G75" s="36">
        <f t="shared" ref="G75:G77" si="3">I75</f>
        <v>6750</v>
      </c>
      <c r="H75" s="125">
        <v>0</v>
      </c>
      <c r="I75" s="36">
        <v>6750</v>
      </c>
      <c r="J75" s="37"/>
      <c r="K75" s="74">
        <v>2056</v>
      </c>
      <c r="L75" s="82"/>
      <c r="M75" s="73">
        <f t="shared" si="0"/>
        <v>6750</v>
      </c>
    </row>
    <row r="76" spans="1:52" s="16" customFormat="1" ht="47.25" x14ac:dyDescent="0.2">
      <c r="A76" s="206"/>
      <c r="B76" s="208"/>
      <c r="C76" s="262"/>
      <c r="D76" s="253"/>
      <c r="E76" s="17" t="s">
        <v>104</v>
      </c>
      <c r="F76" s="35">
        <v>2021</v>
      </c>
      <c r="G76" s="36">
        <f t="shared" si="3"/>
        <v>49900</v>
      </c>
      <c r="H76" s="125">
        <v>0</v>
      </c>
      <c r="I76" s="36">
        <v>49900</v>
      </c>
      <c r="J76" s="37"/>
      <c r="K76" s="74">
        <v>2057</v>
      </c>
      <c r="L76" s="158">
        <v>12883.24</v>
      </c>
      <c r="M76" s="73">
        <f t="shared" si="0"/>
        <v>37016.76</v>
      </c>
    </row>
    <row r="77" spans="1:52" s="16" customFormat="1" ht="47.25" x14ac:dyDescent="0.2">
      <c r="A77" s="206"/>
      <c r="B77" s="208"/>
      <c r="C77" s="262"/>
      <c r="D77" s="253"/>
      <c r="E77" s="17" t="s">
        <v>199</v>
      </c>
      <c r="F77" s="35">
        <v>2021</v>
      </c>
      <c r="G77" s="36">
        <f t="shared" si="3"/>
        <v>13088</v>
      </c>
      <c r="H77" s="125">
        <v>0</v>
      </c>
      <c r="I77" s="36">
        <v>13088</v>
      </c>
      <c r="J77" s="37"/>
      <c r="K77" s="74">
        <v>2058</v>
      </c>
      <c r="L77" s="82"/>
      <c r="M77" s="73">
        <f t="shared" si="0"/>
        <v>13088</v>
      </c>
    </row>
    <row r="78" spans="1:52" s="16" customFormat="1" ht="47.25" x14ac:dyDescent="0.2">
      <c r="A78" s="217"/>
      <c r="B78" s="209"/>
      <c r="C78" s="219"/>
      <c r="D78" s="244"/>
      <c r="E78" s="17" t="s">
        <v>105</v>
      </c>
      <c r="F78" s="35">
        <v>2021</v>
      </c>
      <c r="G78" s="36">
        <f>I78</f>
        <v>13088</v>
      </c>
      <c r="H78" s="125">
        <v>0</v>
      </c>
      <c r="I78" s="36">
        <v>13088</v>
      </c>
      <c r="J78" s="37"/>
      <c r="K78" s="74">
        <v>2059</v>
      </c>
      <c r="L78" s="82"/>
      <c r="M78" s="73">
        <f t="shared" si="0"/>
        <v>13088</v>
      </c>
    </row>
    <row r="79" spans="1:52" s="16" customFormat="1" ht="36.75" customHeight="1" x14ac:dyDescent="0.25">
      <c r="A79" s="136" t="s">
        <v>30</v>
      </c>
      <c r="B79" s="139">
        <v>7370</v>
      </c>
      <c r="C79" s="138" t="s">
        <v>5</v>
      </c>
      <c r="D79" s="60" t="s">
        <v>31</v>
      </c>
      <c r="E79" s="17" t="s">
        <v>127</v>
      </c>
      <c r="F79" s="35">
        <v>2021</v>
      </c>
      <c r="G79" s="36">
        <f>I79</f>
        <v>2737372</v>
      </c>
      <c r="H79" s="125">
        <v>0</v>
      </c>
      <c r="I79" s="36">
        <f>2752373-15001</f>
        <v>2737372</v>
      </c>
      <c r="J79" s="37"/>
      <c r="K79" s="74">
        <v>2060</v>
      </c>
      <c r="L79" s="158">
        <v>2712760</v>
      </c>
      <c r="M79" s="73">
        <f t="shared" si="0"/>
        <v>24612</v>
      </c>
    </row>
    <row r="80" spans="1:52" s="16" customFormat="1" ht="18.75" x14ac:dyDescent="0.2">
      <c r="A80" s="205" t="s">
        <v>11</v>
      </c>
      <c r="B80" s="207">
        <v>6030</v>
      </c>
      <c r="C80" s="218" t="s">
        <v>18</v>
      </c>
      <c r="D80" s="202" t="s">
        <v>19</v>
      </c>
      <c r="E80" s="276" t="s">
        <v>10</v>
      </c>
      <c r="F80" s="256">
        <v>2021</v>
      </c>
      <c r="G80" s="272">
        <v>0</v>
      </c>
      <c r="H80" s="274">
        <v>0</v>
      </c>
      <c r="I80" s="36">
        <v>2808550</v>
      </c>
      <c r="J80" s="37"/>
      <c r="K80" s="74">
        <v>2069</v>
      </c>
      <c r="L80" s="82"/>
      <c r="M80" s="73">
        <f t="shared" si="0"/>
        <v>2808550</v>
      </c>
    </row>
    <row r="81" spans="1:52" s="103" customFormat="1" ht="18.75" x14ac:dyDescent="0.2">
      <c r="A81" s="217"/>
      <c r="B81" s="209"/>
      <c r="C81" s="219"/>
      <c r="D81" s="204"/>
      <c r="E81" s="277"/>
      <c r="F81" s="257"/>
      <c r="G81" s="273"/>
      <c r="H81" s="275"/>
      <c r="I81" s="36">
        <v>1683000</v>
      </c>
      <c r="J81" s="37"/>
      <c r="K81" s="142">
        <v>2099</v>
      </c>
      <c r="L81" s="160">
        <v>1683000</v>
      </c>
      <c r="M81" s="144">
        <f t="shared" si="0"/>
        <v>0</v>
      </c>
      <c r="N81" s="103" t="s">
        <v>219</v>
      </c>
    </row>
    <row r="82" spans="1:52" s="16" customFormat="1" ht="47.25" x14ac:dyDescent="0.25">
      <c r="A82" s="53" t="s">
        <v>126</v>
      </c>
      <c r="B82" s="42">
        <v>7330</v>
      </c>
      <c r="C82" s="39" t="s">
        <v>5</v>
      </c>
      <c r="D82" s="81" t="s">
        <v>125</v>
      </c>
      <c r="E82" s="41" t="s">
        <v>150</v>
      </c>
      <c r="F82" s="35">
        <v>2021</v>
      </c>
      <c r="G82" s="36">
        <f>I82</f>
        <v>700000</v>
      </c>
      <c r="H82" s="125">
        <v>0</v>
      </c>
      <c r="I82" s="36">
        <v>700000</v>
      </c>
      <c r="J82" s="37"/>
      <c r="K82" s="74">
        <v>2098</v>
      </c>
      <c r="L82" s="82">
        <v>571347.6</v>
      </c>
      <c r="M82" s="73">
        <f t="shared" si="0"/>
        <v>128652.40000000002</v>
      </c>
    </row>
    <row r="83" spans="1:52" s="16" customFormat="1" ht="39.75" customHeight="1" x14ac:dyDescent="0.2">
      <c r="A83" s="53" t="s">
        <v>45</v>
      </c>
      <c r="B83" s="78">
        <v>7461</v>
      </c>
      <c r="C83" s="79" t="s">
        <v>20</v>
      </c>
      <c r="D83" s="189" t="s">
        <v>46</v>
      </c>
      <c r="E83" s="40" t="s">
        <v>261</v>
      </c>
      <c r="F83" s="35">
        <v>2021</v>
      </c>
      <c r="G83" s="36">
        <v>49920</v>
      </c>
      <c r="H83" s="125">
        <v>0</v>
      </c>
      <c r="I83" s="36">
        <v>49920</v>
      </c>
      <c r="J83" s="37"/>
      <c r="K83" s="74">
        <v>2147</v>
      </c>
      <c r="L83" s="82">
        <v>49920</v>
      </c>
      <c r="M83" s="73">
        <f t="shared" si="0"/>
        <v>0</v>
      </c>
    </row>
    <row r="84" spans="1:52" s="16" customFormat="1" ht="43.5" customHeight="1" x14ac:dyDescent="0.2">
      <c r="A84" s="192" t="s">
        <v>38</v>
      </c>
      <c r="B84" s="79">
        <v>9750</v>
      </c>
      <c r="C84" s="79" t="s">
        <v>22</v>
      </c>
      <c r="D84" s="193" t="s">
        <v>256</v>
      </c>
      <c r="E84" s="40" t="s">
        <v>281</v>
      </c>
      <c r="F84" s="35">
        <v>2021</v>
      </c>
      <c r="G84" s="36">
        <v>0</v>
      </c>
      <c r="H84" s="125">
        <v>0</v>
      </c>
      <c r="I84" s="36">
        <v>79168</v>
      </c>
      <c r="J84" s="37"/>
      <c r="K84" s="197">
        <v>2159</v>
      </c>
      <c r="L84" s="82"/>
      <c r="M84" s="73">
        <f t="shared" ref="M84" si="4">I84-L84</f>
        <v>79168</v>
      </c>
    </row>
    <row r="85" spans="1:52" s="181" customFormat="1" ht="18.75" customHeight="1" x14ac:dyDescent="0.2">
      <c r="D85" s="283" t="s">
        <v>149</v>
      </c>
      <c r="E85" s="284"/>
      <c r="F85" s="284"/>
      <c r="G85" s="284"/>
      <c r="H85" s="284"/>
      <c r="I85" s="284"/>
      <c r="J85" s="284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P85" s="180"/>
      <c r="AQ85" s="180"/>
      <c r="AR85" s="180"/>
      <c r="AS85" s="180"/>
      <c r="AT85" s="180"/>
      <c r="AU85" s="180"/>
      <c r="AV85" s="180"/>
      <c r="AW85" s="180"/>
      <c r="AX85" s="180"/>
      <c r="AY85" s="180"/>
      <c r="AZ85" s="180"/>
    </row>
    <row r="86" spans="1:52" s="16" customFormat="1" ht="31.5" x14ac:dyDescent="0.2">
      <c r="A86" s="183" t="s">
        <v>168</v>
      </c>
      <c r="B86" s="42">
        <v>6082</v>
      </c>
      <c r="C86" s="184" t="s">
        <v>34</v>
      </c>
      <c r="D86" s="58" t="s">
        <v>169</v>
      </c>
      <c r="E86" s="17" t="s">
        <v>273</v>
      </c>
      <c r="F86" s="35">
        <v>2021</v>
      </c>
      <c r="G86" s="36">
        <v>4895627</v>
      </c>
      <c r="H86" s="125">
        <v>0</v>
      </c>
      <c r="I86" s="36">
        <v>3468900</v>
      </c>
      <c r="J86" s="37"/>
      <c r="K86" s="74">
        <v>2115</v>
      </c>
      <c r="L86" s="82"/>
      <c r="M86" s="73">
        <f>I86-L86</f>
        <v>3468900</v>
      </c>
    </row>
    <row r="87" spans="1:52" s="16" customFormat="1" ht="47.25" x14ac:dyDescent="0.2">
      <c r="A87" s="284" t="s">
        <v>60</v>
      </c>
      <c r="B87" s="210">
        <v>7363</v>
      </c>
      <c r="C87" s="211" t="s">
        <v>5</v>
      </c>
      <c r="D87" s="245" t="s">
        <v>61</v>
      </c>
      <c r="E87" s="17" t="s">
        <v>62</v>
      </c>
      <c r="F87" s="35">
        <v>2021</v>
      </c>
      <c r="G87" s="36">
        <v>5261884</v>
      </c>
      <c r="H87" s="125">
        <v>0</v>
      </c>
      <c r="I87" s="36">
        <v>3035438</v>
      </c>
      <c r="J87" s="37"/>
      <c r="K87" s="74">
        <v>2042</v>
      </c>
      <c r="L87" s="82">
        <f>36575.65+2748583.96</f>
        <v>2785159.61</v>
      </c>
      <c r="M87" s="73">
        <f t="shared" ref="M87:M89" si="5">I87-L87</f>
        <v>250278.39000000013</v>
      </c>
    </row>
    <row r="88" spans="1:52" s="16" customFormat="1" ht="31.5" x14ac:dyDescent="0.2">
      <c r="A88" s="284"/>
      <c r="B88" s="210"/>
      <c r="C88" s="211"/>
      <c r="D88" s="245"/>
      <c r="E88" s="17" t="s">
        <v>279</v>
      </c>
      <c r="F88" s="35" t="s">
        <v>189</v>
      </c>
      <c r="G88" s="36">
        <v>25000000</v>
      </c>
      <c r="H88" s="125">
        <v>0</v>
      </c>
      <c r="I88" s="36">
        <v>3000000</v>
      </c>
      <c r="J88" s="37"/>
      <c r="K88" s="74">
        <v>2158</v>
      </c>
      <c r="L88" s="82">
        <v>0</v>
      </c>
      <c r="M88" s="73">
        <f t="shared" si="5"/>
        <v>3000000</v>
      </c>
    </row>
    <row r="89" spans="1:52" s="16" customFormat="1" ht="18.75" x14ac:dyDescent="0.2">
      <c r="A89" s="284"/>
      <c r="B89" s="210"/>
      <c r="C89" s="211"/>
      <c r="D89" s="245"/>
      <c r="E89" s="17" t="s">
        <v>280</v>
      </c>
      <c r="F89" s="35">
        <v>2021</v>
      </c>
      <c r="G89" s="36">
        <v>9000000</v>
      </c>
      <c r="H89" s="125">
        <v>0</v>
      </c>
      <c r="I89" s="36">
        <v>3500000</v>
      </c>
      <c r="J89" s="37"/>
      <c r="K89" s="74">
        <v>2024</v>
      </c>
      <c r="L89" s="82">
        <v>0</v>
      </c>
      <c r="M89" s="73">
        <f t="shared" si="5"/>
        <v>3500000</v>
      </c>
    </row>
    <row r="90" spans="1:52" ht="47.25" customHeight="1" x14ac:dyDescent="0.2">
      <c r="A90" s="235"/>
      <c r="B90" s="236"/>
      <c r="C90" s="237"/>
      <c r="D90" s="56" t="s">
        <v>27</v>
      </c>
      <c r="E90" s="49"/>
      <c r="F90" s="52" t="s">
        <v>7</v>
      </c>
      <c r="G90" s="115" t="s">
        <v>7</v>
      </c>
      <c r="H90" s="115" t="s">
        <v>7</v>
      </c>
      <c r="I90" s="115">
        <f>SUM(I91:I95)</f>
        <v>5195868</v>
      </c>
      <c r="J90" s="121" t="s">
        <v>7</v>
      </c>
      <c r="K90" s="174"/>
      <c r="L90" s="175"/>
      <c r="M90" s="176"/>
    </row>
    <row r="91" spans="1:52" s="16" customFormat="1" ht="47.25" x14ac:dyDescent="0.2">
      <c r="A91" s="205" t="s">
        <v>29</v>
      </c>
      <c r="B91" s="207">
        <v>7322</v>
      </c>
      <c r="C91" s="218" t="s">
        <v>211</v>
      </c>
      <c r="D91" s="280" t="s">
        <v>68</v>
      </c>
      <c r="E91" s="40" t="s">
        <v>51</v>
      </c>
      <c r="F91" s="35">
        <v>2021</v>
      </c>
      <c r="G91" s="36">
        <f>I91</f>
        <v>300000</v>
      </c>
      <c r="H91" s="125">
        <v>0</v>
      </c>
      <c r="I91" s="36">
        <v>300000</v>
      </c>
      <c r="J91" s="37"/>
      <c r="K91" s="145">
        <v>2029</v>
      </c>
      <c r="L91" s="160">
        <v>297772.79999999999</v>
      </c>
      <c r="M91" s="144">
        <f t="shared" si="0"/>
        <v>2227.2000000000116</v>
      </c>
    </row>
    <row r="92" spans="1:52" s="16" customFormat="1" ht="47.25" x14ac:dyDescent="0.2">
      <c r="A92" s="206"/>
      <c r="B92" s="208"/>
      <c r="C92" s="262"/>
      <c r="D92" s="281"/>
      <c r="E92" s="40" t="s">
        <v>275</v>
      </c>
      <c r="F92" s="35">
        <v>2021</v>
      </c>
      <c r="G92" s="36">
        <f>I92</f>
        <v>300000</v>
      </c>
      <c r="H92" s="125">
        <v>0</v>
      </c>
      <c r="I92" s="36">
        <v>300000</v>
      </c>
      <c r="J92" s="37"/>
      <c r="K92" s="74">
        <v>2030</v>
      </c>
      <c r="L92" s="82">
        <v>0</v>
      </c>
      <c r="M92" s="73">
        <f t="shared" si="0"/>
        <v>300000</v>
      </c>
    </row>
    <row r="93" spans="1:52" s="16" customFormat="1" ht="31.5" x14ac:dyDescent="0.2">
      <c r="A93" s="206"/>
      <c r="B93" s="208"/>
      <c r="C93" s="262"/>
      <c r="D93" s="281"/>
      <c r="E93" s="40" t="s">
        <v>216</v>
      </c>
      <c r="F93" s="35">
        <v>2021</v>
      </c>
      <c r="G93" s="36">
        <f>72852+I42</f>
        <v>3696403</v>
      </c>
      <c r="H93" s="125">
        <v>0</v>
      </c>
      <c r="I93" s="36">
        <v>72852</v>
      </c>
      <c r="J93" s="37"/>
      <c r="K93" s="74">
        <v>2118</v>
      </c>
      <c r="L93" s="158"/>
      <c r="M93" s="73"/>
    </row>
    <row r="94" spans="1:52" s="16" customFormat="1" ht="31.5" x14ac:dyDescent="0.2">
      <c r="A94" s="217"/>
      <c r="B94" s="209"/>
      <c r="C94" s="219"/>
      <c r="D94" s="282"/>
      <c r="E94" s="40" t="s">
        <v>290</v>
      </c>
      <c r="F94" s="35">
        <v>2021</v>
      </c>
      <c r="G94" s="36">
        <v>4478016</v>
      </c>
      <c r="H94" s="125">
        <v>0</v>
      </c>
      <c r="I94" s="36">
        <v>4478016</v>
      </c>
      <c r="J94" s="37"/>
      <c r="K94" s="74">
        <v>2169</v>
      </c>
      <c r="L94" s="158"/>
      <c r="M94" s="73"/>
    </row>
    <row r="95" spans="1:52" s="16" customFormat="1" ht="47.25" x14ac:dyDescent="0.2">
      <c r="A95" s="129" t="s">
        <v>83</v>
      </c>
      <c r="B95" s="42">
        <v>2111</v>
      </c>
      <c r="C95" s="39" t="s">
        <v>85</v>
      </c>
      <c r="D95" s="134" t="s">
        <v>84</v>
      </c>
      <c r="E95" s="40" t="s">
        <v>10</v>
      </c>
      <c r="F95" s="35">
        <v>2021</v>
      </c>
      <c r="G95" s="36">
        <v>0</v>
      </c>
      <c r="H95" s="125">
        <v>0</v>
      </c>
      <c r="I95" s="36">
        <v>45000</v>
      </c>
      <c r="J95" s="37"/>
      <c r="K95" s="75">
        <v>2050</v>
      </c>
      <c r="L95" s="158">
        <v>30550</v>
      </c>
      <c r="M95" s="73">
        <f t="shared" ref="M95" si="6">I95-L95</f>
        <v>14450</v>
      </c>
      <c r="N95" s="16" t="s">
        <v>223</v>
      </c>
    </row>
    <row r="96" spans="1:52" ht="46.5" customHeight="1" x14ac:dyDescent="0.2">
      <c r="A96" s="235"/>
      <c r="B96" s="236"/>
      <c r="C96" s="237"/>
      <c r="D96" s="56" t="s">
        <v>52</v>
      </c>
      <c r="E96" s="49"/>
      <c r="F96" s="52" t="s">
        <v>7</v>
      </c>
      <c r="G96" s="115" t="s">
        <v>7</v>
      </c>
      <c r="H96" s="115" t="s">
        <v>7</v>
      </c>
      <c r="I96" s="115">
        <f>SUM(I97)</f>
        <v>4347174</v>
      </c>
      <c r="J96" s="121" t="s">
        <v>7</v>
      </c>
      <c r="K96" s="174"/>
      <c r="L96" s="175"/>
      <c r="M96" s="176"/>
    </row>
    <row r="97" spans="1:52" s="16" customFormat="1" ht="31.5" x14ac:dyDescent="0.25">
      <c r="A97" s="148" t="s">
        <v>53</v>
      </c>
      <c r="B97" s="149">
        <v>2080</v>
      </c>
      <c r="C97" s="150" t="s">
        <v>54</v>
      </c>
      <c r="D97" s="60" t="s">
        <v>55</v>
      </c>
      <c r="E97" s="155" t="s">
        <v>10</v>
      </c>
      <c r="F97" s="35">
        <v>2021</v>
      </c>
      <c r="G97" s="36">
        <v>0</v>
      </c>
      <c r="H97" s="125">
        <v>0</v>
      </c>
      <c r="I97" s="36">
        <f>1750000-82826+200000+2480000</f>
        <v>4347174</v>
      </c>
      <c r="J97" s="37"/>
      <c r="K97" s="74">
        <v>2037</v>
      </c>
      <c r="L97" s="82">
        <f>1650000+199900+2470000</f>
        <v>4319900</v>
      </c>
      <c r="M97" s="82">
        <f t="shared" si="0"/>
        <v>27274</v>
      </c>
      <c r="N97" s="16" t="s">
        <v>239</v>
      </c>
    </row>
    <row r="98" spans="1:52" s="5" customFormat="1" ht="18.75" x14ac:dyDescent="0.2">
      <c r="A98" s="235"/>
      <c r="B98" s="236"/>
      <c r="C98" s="237"/>
      <c r="D98" s="48" t="s">
        <v>102</v>
      </c>
      <c r="E98" s="49"/>
      <c r="F98" s="52" t="s">
        <v>7</v>
      </c>
      <c r="G98" s="115" t="s">
        <v>7</v>
      </c>
      <c r="H98" s="115" t="s">
        <v>7</v>
      </c>
      <c r="I98" s="115">
        <f>SUM(I99:I149)</f>
        <v>48116175.710000001</v>
      </c>
      <c r="J98" s="121" t="s">
        <v>7</v>
      </c>
      <c r="K98" s="168"/>
      <c r="L98" s="169"/>
      <c r="M98" s="170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s="16" customFormat="1" ht="33" customHeight="1" x14ac:dyDescent="0.2">
      <c r="A99" s="205" t="s">
        <v>33</v>
      </c>
      <c r="B99" s="207">
        <v>6011</v>
      </c>
      <c r="C99" s="205" t="s">
        <v>34</v>
      </c>
      <c r="D99" s="207" t="s">
        <v>35</v>
      </c>
      <c r="E99" s="40" t="s">
        <v>36</v>
      </c>
      <c r="F99" s="35">
        <v>2021</v>
      </c>
      <c r="G99" s="36">
        <f>I99</f>
        <v>1484700</v>
      </c>
      <c r="H99" s="125">
        <v>0</v>
      </c>
      <c r="I99" s="36">
        <v>1484700</v>
      </c>
      <c r="J99" s="37"/>
      <c r="K99" s="74">
        <v>2031</v>
      </c>
      <c r="L99" s="158">
        <f>233043.67+3312.11+579515.04</f>
        <v>815870.82000000007</v>
      </c>
      <c r="M99" s="73">
        <f t="shared" si="0"/>
        <v>668829.17999999993</v>
      </c>
    </row>
    <row r="100" spans="1:52" s="16" customFormat="1" ht="31.5" x14ac:dyDescent="0.2">
      <c r="A100" s="217"/>
      <c r="B100" s="209"/>
      <c r="C100" s="217"/>
      <c r="D100" s="209"/>
      <c r="E100" s="40" t="s">
        <v>37</v>
      </c>
      <c r="F100" s="35">
        <v>2021</v>
      </c>
      <c r="G100" s="36">
        <f t="shared" ref="G100:G105" si="7">I100</f>
        <v>1478200</v>
      </c>
      <c r="H100" s="125">
        <v>0</v>
      </c>
      <c r="I100" s="36">
        <v>1478200</v>
      </c>
      <c r="J100" s="37"/>
      <c r="K100" s="74">
        <v>2032</v>
      </c>
      <c r="L100" s="158">
        <f>501095.62+7259.5+500405.08</f>
        <v>1008760.2</v>
      </c>
      <c r="M100" s="73">
        <f t="shared" si="0"/>
        <v>469439.80000000005</v>
      </c>
    </row>
    <row r="101" spans="1:52" s="16" customFormat="1" ht="47.25" x14ac:dyDescent="0.2">
      <c r="A101" s="152" t="s">
        <v>260</v>
      </c>
      <c r="B101" s="151">
        <v>6013</v>
      </c>
      <c r="C101" s="152" t="s">
        <v>18</v>
      </c>
      <c r="D101" s="151" t="s">
        <v>259</v>
      </c>
      <c r="E101" s="40" t="s">
        <v>267</v>
      </c>
      <c r="F101" s="35">
        <v>2021</v>
      </c>
      <c r="G101" s="36">
        <v>49336</v>
      </c>
      <c r="H101" s="125">
        <v>0</v>
      </c>
      <c r="I101" s="36">
        <v>49336</v>
      </c>
      <c r="J101" s="37"/>
      <c r="K101" s="74">
        <v>2140</v>
      </c>
      <c r="L101" s="158"/>
      <c r="M101" s="73">
        <f t="shared" si="0"/>
        <v>49336</v>
      </c>
    </row>
    <row r="102" spans="1:52" s="16" customFormat="1" ht="31.5" x14ac:dyDescent="0.25">
      <c r="A102" s="205" t="s">
        <v>11</v>
      </c>
      <c r="B102" s="207">
        <v>6030</v>
      </c>
      <c r="C102" s="218" t="s">
        <v>18</v>
      </c>
      <c r="D102" s="270" t="s">
        <v>19</v>
      </c>
      <c r="E102" s="41" t="s">
        <v>129</v>
      </c>
      <c r="F102" s="35">
        <v>2021</v>
      </c>
      <c r="G102" s="36">
        <f t="shared" si="7"/>
        <v>588027</v>
      </c>
      <c r="H102" s="125">
        <v>0</v>
      </c>
      <c r="I102" s="36">
        <v>588027</v>
      </c>
      <c r="J102" s="37"/>
      <c r="K102" s="74">
        <v>2061</v>
      </c>
      <c r="L102" s="158">
        <f>505400+7497.31</f>
        <v>512897.31</v>
      </c>
      <c r="M102" s="73">
        <f t="shared" si="0"/>
        <v>75129.69</v>
      </c>
    </row>
    <row r="103" spans="1:52" s="16" customFormat="1" ht="31.5" x14ac:dyDescent="0.25">
      <c r="A103" s="206"/>
      <c r="B103" s="208"/>
      <c r="C103" s="262"/>
      <c r="D103" s="271"/>
      <c r="E103" s="41" t="s">
        <v>130</v>
      </c>
      <c r="F103" s="35">
        <v>2021</v>
      </c>
      <c r="G103" s="36">
        <f t="shared" si="7"/>
        <v>413680</v>
      </c>
      <c r="H103" s="125">
        <v>0</v>
      </c>
      <c r="I103" s="36">
        <v>413680</v>
      </c>
      <c r="J103" s="37"/>
      <c r="K103" s="74">
        <v>2062</v>
      </c>
      <c r="L103" s="158">
        <v>329712.82</v>
      </c>
      <c r="M103" s="73">
        <f t="shared" si="0"/>
        <v>83967.18</v>
      </c>
    </row>
    <row r="104" spans="1:52" s="16" customFormat="1" ht="31.5" x14ac:dyDescent="0.25">
      <c r="A104" s="206"/>
      <c r="B104" s="208"/>
      <c r="C104" s="262"/>
      <c r="D104" s="271"/>
      <c r="E104" s="41" t="s">
        <v>131</v>
      </c>
      <c r="F104" s="35">
        <v>2021</v>
      </c>
      <c r="G104" s="36">
        <f t="shared" si="7"/>
        <v>610349</v>
      </c>
      <c r="H104" s="125">
        <v>0</v>
      </c>
      <c r="I104" s="36">
        <v>610349</v>
      </c>
      <c r="J104" s="37"/>
      <c r="K104" s="74">
        <v>2063</v>
      </c>
      <c r="L104" s="158">
        <f>560848.84+8308.45</f>
        <v>569157.28999999992</v>
      </c>
      <c r="M104" s="73">
        <f t="shared" si="0"/>
        <v>41191.710000000079</v>
      </c>
    </row>
    <row r="105" spans="1:52" s="16" customFormat="1" ht="31.5" x14ac:dyDescent="0.25">
      <c r="A105" s="206"/>
      <c r="B105" s="208"/>
      <c r="C105" s="262"/>
      <c r="D105" s="271"/>
      <c r="E105" s="41" t="s">
        <v>132</v>
      </c>
      <c r="F105" s="35">
        <v>2021</v>
      </c>
      <c r="G105" s="36">
        <f t="shared" si="7"/>
        <v>725932</v>
      </c>
      <c r="H105" s="125">
        <v>0</v>
      </c>
      <c r="I105" s="36">
        <v>725932</v>
      </c>
      <c r="J105" s="37"/>
      <c r="K105" s="74">
        <v>2064</v>
      </c>
      <c r="L105" s="158">
        <f>529700+7832.07</f>
        <v>537532.06999999995</v>
      </c>
      <c r="M105" s="73">
        <f t="shared" ref="M105:M209" si="8">I105-L105</f>
        <v>188399.93000000005</v>
      </c>
    </row>
    <row r="106" spans="1:52" s="16" customFormat="1" ht="31.5" x14ac:dyDescent="0.25">
      <c r="A106" s="206"/>
      <c r="B106" s="208"/>
      <c r="C106" s="262"/>
      <c r="D106" s="271"/>
      <c r="E106" s="41" t="s">
        <v>133</v>
      </c>
      <c r="F106" s="35">
        <v>2021</v>
      </c>
      <c r="G106" s="36">
        <f t="shared" ref="G106:G108" si="9">I106</f>
        <v>40775</v>
      </c>
      <c r="H106" s="125">
        <v>0</v>
      </c>
      <c r="I106" s="36">
        <v>40775</v>
      </c>
      <c r="J106" s="37"/>
      <c r="K106" s="74">
        <v>2065</v>
      </c>
      <c r="L106" s="158">
        <v>40775</v>
      </c>
      <c r="M106" s="73">
        <f t="shared" si="8"/>
        <v>0</v>
      </c>
    </row>
    <row r="107" spans="1:52" s="16" customFormat="1" ht="31.5" x14ac:dyDescent="0.25">
      <c r="A107" s="206"/>
      <c r="B107" s="208"/>
      <c r="C107" s="262"/>
      <c r="D107" s="271"/>
      <c r="E107" s="41" t="s">
        <v>134</v>
      </c>
      <c r="F107" s="35">
        <v>2021</v>
      </c>
      <c r="G107" s="36">
        <f t="shared" si="9"/>
        <v>36293</v>
      </c>
      <c r="H107" s="125">
        <v>0</v>
      </c>
      <c r="I107" s="36">
        <v>36293</v>
      </c>
      <c r="J107" s="37"/>
      <c r="K107" s="74">
        <v>2066</v>
      </c>
      <c r="L107" s="158">
        <v>36293</v>
      </c>
      <c r="M107" s="73">
        <f t="shared" si="8"/>
        <v>0</v>
      </c>
    </row>
    <row r="108" spans="1:52" s="16" customFormat="1" ht="31.5" x14ac:dyDescent="0.25">
      <c r="A108" s="206"/>
      <c r="B108" s="208"/>
      <c r="C108" s="262"/>
      <c r="D108" s="271"/>
      <c r="E108" s="41" t="s">
        <v>135</v>
      </c>
      <c r="F108" s="35">
        <v>2021</v>
      </c>
      <c r="G108" s="36">
        <f t="shared" si="9"/>
        <v>29662</v>
      </c>
      <c r="H108" s="125">
        <v>0</v>
      </c>
      <c r="I108" s="36">
        <v>29662</v>
      </c>
      <c r="J108" s="37"/>
      <c r="K108" s="74">
        <v>2067</v>
      </c>
      <c r="L108" s="158">
        <v>29662</v>
      </c>
      <c r="M108" s="73">
        <f t="shared" si="8"/>
        <v>0</v>
      </c>
    </row>
    <row r="109" spans="1:52" s="16" customFormat="1" ht="31.5" x14ac:dyDescent="0.25">
      <c r="A109" s="206"/>
      <c r="B109" s="208"/>
      <c r="C109" s="262"/>
      <c r="D109" s="271"/>
      <c r="E109" s="41" t="s">
        <v>136</v>
      </c>
      <c r="F109" s="35">
        <v>2021</v>
      </c>
      <c r="G109" s="36">
        <f>I109</f>
        <v>34897</v>
      </c>
      <c r="H109" s="125">
        <v>0</v>
      </c>
      <c r="I109" s="36">
        <v>34897</v>
      </c>
      <c r="J109" s="37"/>
      <c r="K109" s="74">
        <v>2068</v>
      </c>
      <c r="L109" s="158">
        <v>34897</v>
      </c>
      <c r="M109" s="73">
        <f t="shared" si="8"/>
        <v>0</v>
      </c>
    </row>
    <row r="110" spans="1:52" s="16" customFormat="1" ht="31.5" x14ac:dyDescent="0.25">
      <c r="A110" s="206"/>
      <c r="B110" s="208"/>
      <c r="C110" s="262"/>
      <c r="D110" s="271"/>
      <c r="E110" s="41" t="s">
        <v>143</v>
      </c>
      <c r="F110" s="35">
        <v>2021</v>
      </c>
      <c r="G110" s="36">
        <v>0</v>
      </c>
      <c r="H110" s="125">
        <v>0</v>
      </c>
      <c r="I110" s="36">
        <v>381000</v>
      </c>
      <c r="J110" s="37"/>
      <c r="K110" s="74">
        <v>2070</v>
      </c>
      <c r="L110" s="158">
        <v>380400</v>
      </c>
      <c r="M110" s="73">
        <f t="shared" si="8"/>
        <v>600</v>
      </c>
    </row>
    <row r="111" spans="1:52" s="16" customFormat="1" ht="31.5" x14ac:dyDescent="0.25">
      <c r="A111" s="206"/>
      <c r="B111" s="208"/>
      <c r="C111" s="262"/>
      <c r="D111" s="271"/>
      <c r="E111" s="41" t="s">
        <v>108</v>
      </c>
      <c r="F111" s="35">
        <v>2021</v>
      </c>
      <c r="G111" s="36">
        <f t="shared" ref="G111:G113" si="10">I111</f>
        <v>38835</v>
      </c>
      <c r="H111" s="125">
        <v>0</v>
      </c>
      <c r="I111" s="36">
        <v>38835</v>
      </c>
      <c r="J111" s="37"/>
      <c r="K111" s="74">
        <v>2071</v>
      </c>
      <c r="L111" s="158">
        <v>38835</v>
      </c>
      <c r="M111" s="73">
        <f t="shared" si="8"/>
        <v>0</v>
      </c>
    </row>
    <row r="112" spans="1:52" s="16" customFormat="1" ht="31.5" x14ac:dyDescent="0.25">
      <c r="A112" s="206"/>
      <c r="B112" s="208"/>
      <c r="C112" s="262"/>
      <c r="D112" s="271"/>
      <c r="E112" s="41" t="s">
        <v>118</v>
      </c>
      <c r="F112" s="35">
        <v>2021</v>
      </c>
      <c r="G112" s="36">
        <f t="shared" si="10"/>
        <v>49005</v>
      </c>
      <c r="H112" s="125">
        <v>0</v>
      </c>
      <c r="I112" s="36">
        <v>49005</v>
      </c>
      <c r="J112" s="37"/>
      <c r="K112" s="74">
        <v>2072</v>
      </c>
      <c r="L112" s="158">
        <v>49005</v>
      </c>
      <c r="M112" s="73">
        <f t="shared" si="8"/>
        <v>0</v>
      </c>
    </row>
    <row r="113" spans="1:13" s="16" customFormat="1" ht="31.5" x14ac:dyDescent="0.25">
      <c r="A113" s="206"/>
      <c r="B113" s="208"/>
      <c r="C113" s="262"/>
      <c r="D113" s="271"/>
      <c r="E113" s="41" t="s">
        <v>109</v>
      </c>
      <c r="F113" s="35">
        <v>2021</v>
      </c>
      <c r="G113" s="36">
        <f t="shared" si="10"/>
        <v>40977</v>
      </c>
      <c r="H113" s="125">
        <v>0</v>
      </c>
      <c r="I113" s="36">
        <v>40977</v>
      </c>
      <c r="J113" s="37"/>
      <c r="K113" s="74">
        <v>2073</v>
      </c>
      <c r="L113" s="158">
        <v>40977</v>
      </c>
      <c r="M113" s="73">
        <f t="shared" si="8"/>
        <v>0</v>
      </c>
    </row>
    <row r="114" spans="1:13" s="16" customFormat="1" ht="31.5" x14ac:dyDescent="0.25">
      <c r="A114" s="206"/>
      <c r="B114" s="208"/>
      <c r="C114" s="262"/>
      <c r="D114" s="271"/>
      <c r="E114" s="41" t="s">
        <v>110</v>
      </c>
      <c r="F114" s="35">
        <v>2021</v>
      </c>
      <c r="G114" s="36">
        <f>I114</f>
        <v>40356</v>
      </c>
      <c r="H114" s="125">
        <v>0</v>
      </c>
      <c r="I114" s="36">
        <v>40356</v>
      </c>
      <c r="J114" s="37"/>
      <c r="K114" s="74">
        <v>2074</v>
      </c>
      <c r="L114" s="158">
        <v>40356</v>
      </c>
      <c r="M114" s="73">
        <f t="shared" si="8"/>
        <v>0</v>
      </c>
    </row>
    <row r="115" spans="1:13" s="103" customFormat="1" ht="18.75" customHeight="1" x14ac:dyDescent="0.25">
      <c r="A115" s="206"/>
      <c r="B115" s="208"/>
      <c r="C115" s="262"/>
      <c r="D115" s="271"/>
      <c r="E115" s="41" t="s">
        <v>156</v>
      </c>
      <c r="F115" s="35">
        <v>2021</v>
      </c>
      <c r="G115" s="36">
        <f>I115</f>
        <v>499860</v>
      </c>
      <c r="H115" s="125">
        <v>0</v>
      </c>
      <c r="I115" s="36">
        <v>499860</v>
      </c>
      <c r="J115" s="37"/>
      <c r="K115" s="100">
        <v>2100</v>
      </c>
      <c r="L115" s="101">
        <f>415000+6072.42</f>
        <v>421072.42</v>
      </c>
      <c r="M115" s="102">
        <f t="shared" si="8"/>
        <v>78787.580000000016</v>
      </c>
    </row>
    <row r="116" spans="1:13" s="103" customFormat="1" ht="31.5" x14ac:dyDescent="0.25">
      <c r="A116" s="206"/>
      <c r="B116" s="208"/>
      <c r="C116" s="262"/>
      <c r="D116" s="271"/>
      <c r="E116" s="41" t="s">
        <v>157</v>
      </c>
      <c r="F116" s="35">
        <v>2021</v>
      </c>
      <c r="G116" s="36">
        <f>I116</f>
        <v>3025397</v>
      </c>
      <c r="H116" s="125">
        <v>0</v>
      </c>
      <c r="I116" s="36">
        <v>3025397</v>
      </c>
      <c r="J116" s="37"/>
      <c r="K116" s="100">
        <v>2101</v>
      </c>
      <c r="L116" s="101">
        <f>2154795.24+8400</f>
        <v>2163195.2400000002</v>
      </c>
      <c r="M116" s="102">
        <f t="shared" si="8"/>
        <v>862201.75999999978</v>
      </c>
    </row>
    <row r="117" spans="1:13" s="103" customFormat="1" ht="31.5" x14ac:dyDescent="0.25">
      <c r="A117" s="206"/>
      <c r="B117" s="208"/>
      <c r="C117" s="262"/>
      <c r="D117" s="271"/>
      <c r="E117" s="41" t="s">
        <v>160</v>
      </c>
      <c r="F117" s="35">
        <v>2021</v>
      </c>
      <c r="G117" s="36">
        <f>115243</f>
        <v>115243</v>
      </c>
      <c r="H117" s="125">
        <v>0</v>
      </c>
      <c r="I117" s="36">
        <v>115243</v>
      </c>
      <c r="J117" s="37"/>
      <c r="K117" s="100">
        <v>2114</v>
      </c>
      <c r="L117" s="101">
        <f>111916.01+1644.68</f>
        <v>113560.68999999999</v>
      </c>
      <c r="M117" s="102">
        <f>I117-L117</f>
        <v>1682.3100000000122</v>
      </c>
    </row>
    <row r="118" spans="1:13" s="16" customFormat="1" ht="18.75" x14ac:dyDescent="0.25">
      <c r="A118" s="206"/>
      <c r="B118" s="208"/>
      <c r="C118" s="262"/>
      <c r="D118" s="271"/>
      <c r="E118" s="41" t="s">
        <v>258</v>
      </c>
      <c r="F118" s="35">
        <v>2021</v>
      </c>
      <c r="G118" s="36">
        <v>1272809</v>
      </c>
      <c r="H118" s="125">
        <v>0</v>
      </c>
      <c r="I118" s="36">
        <v>1272809</v>
      </c>
      <c r="J118" s="37"/>
      <c r="K118" s="74">
        <v>2143</v>
      </c>
      <c r="L118" s="82"/>
      <c r="M118" s="73">
        <f t="shared" si="8"/>
        <v>1272809</v>
      </c>
    </row>
    <row r="119" spans="1:13" s="16" customFormat="1" ht="18.75" x14ac:dyDescent="0.25">
      <c r="A119" s="206"/>
      <c r="B119" s="208"/>
      <c r="C119" s="262"/>
      <c r="D119" s="271"/>
      <c r="E119" s="41" t="s">
        <v>269</v>
      </c>
      <c r="F119" s="35">
        <v>2021</v>
      </c>
      <c r="G119" s="36">
        <v>767239</v>
      </c>
      <c r="H119" s="125">
        <v>0</v>
      </c>
      <c r="I119" s="36">
        <v>767239</v>
      </c>
      <c r="J119" s="37"/>
      <c r="K119" s="74">
        <v>2152</v>
      </c>
      <c r="L119" s="82"/>
      <c r="M119" s="73">
        <f t="shared" si="8"/>
        <v>767239</v>
      </c>
    </row>
    <row r="120" spans="1:13" s="16" customFormat="1" ht="18.75" x14ac:dyDescent="0.25">
      <c r="A120" s="206"/>
      <c r="B120" s="208"/>
      <c r="C120" s="262"/>
      <c r="D120" s="271"/>
      <c r="E120" s="41" t="s">
        <v>286</v>
      </c>
      <c r="F120" s="35">
        <v>2021</v>
      </c>
      <c r="G120" s="36">
        <v>995000</v>
      </c>
      <c r="H120" s="125">
        <v>0</v>
      </c>
      <c r="I120" s="36">
        <f>G120</f>
        <v>995000</v>
      </c>
      <c r="J120" s="37"/>
      <c r="K120" s="74">
        <v>2165</v>
      </c>
      <c r="L120" s="82"/>
      <c r="M120" s="73"/>
    </row>
    <row r="121" spans="1:13" s="16" customFormat="1" ht="31.5" x14ac:dyDescent="0.25">
      <c r="A121" s="206"/>
      <c r="B121" s="208"/>
      <c r="C121" s="262"/>
      <c r="D121" s="271"/>
      <c r="E121" s="41" t="s">
        <v>287</v>
      </c>
      <c r="F121" s="35">
        <v>2021</v>
      </c>
      <c r="G121" s="36">
        <v>38981</v>
      </c>
      <c r="H121" s="125">
        <v>0</v>
      </c>
      <c r="I121" s="36">
        <f t="shared" ref="I121:I123" si="11">G121</f>
        <v>38981</v>
      </c>
      <c r="J121" s="37"/>
      <c r="K121" s="74">
        <v>2166</v>
      </c>
      <c r="L121" s="82"/>
      <c r="M121" s="73"/>
    </row>
    <row r="122" spans="1:13" s="16" customFormat="1" ht="31.5" x14ac:dyDescent="0.25">
      <c r="A122" s="206"/>
      <c r="B122" s="208"/>
      <c r="C122" s="262"/>
      <c r="D122" s="271"/>
      <c r="E122" s="41" t="s">
        <v>288</v>
      </c>
      <c r="F122" s="35">
        <v>2021</v>
      </c>
      <c r="G122" s="36">
        <v>40198</v>
      </c>
      <c r="H122" s="125">
        <v>0</v>
      </c>
      <c r="I122" s="36">
        <f t="shared" si="11"/>
        <v>40198</v>
      </c>
      <c r="J122" s="37"/>
      <c r="K122" s="74">
        <v>2167</v>
      </c>
      <c r="L122" s="82"/>
      <c r="M122" s="73"/>
    </row>
    <row r="123" spans="1:13" s="16" customFormat="1" ht="31.5" x14ac:dyDescent="0.25">
      <c r="A123" s="217"/>
      <c r="B123" s="209"/>
      <c r="C123" s="219"/>
      <c r="D123" s="279"/>
      <c r="E123" s="41" t="s">
        <v>289</v>
      </c>
      <c r="F123" s="35">
        <v>2021</v>
      </c>
      <c r="G123" s="36">
        <v>42532</v>
      </c>
      <c r="H123" s="125">
        <v>0</v>
      </c>
      <c r="I123" s="36">
        <f t="shared" si="11"/>
        <v>42532</v>
      </c>
      <c r="J123" s="37"/>
      <c r="K123" s="74">
        <v>2168</v>
      </c>
      <c r="L123" s="82"/>
      <c r="M123" s="73"/>
    </row>
    <row r="124" spans="1:13" s="16" customFormat="1" ht="31.5" x14ac:dyDescent="0.25">
      <c r="A124" s="205" t="s">
        <v>63</v>
      </c>
      <c r="B124" s="207">
        <v>6040</v>
      </c>
      <c r="C124" s="218" t="s">
        <v>65</v>
      </c>
      <c r="D124" s="207" t="s">
        <v>64</v>
      </c>
      <c r="E124" s="41" t="s">
        <v>111</v>
      </c>
      <c r="F124" s="35">
        <v>2021</v>
      </c>
      <c r="G124" s="36">
        <f>I124</f>
        <v>49965</v>
      </c>
      <c r="H124" s="125">
        <v>0</v>
      </c>
      <c r="I124" s="36">
        <v>49965</v>
      </c>
      <c r="J124" s="37"/>
      <c r="K124" s="74">
        <v>2075</v>
      </c>
      <c r="L124" s="158">
        <v>49965</v>
      </c>
      <c r="M124" s="73">
        <f t="shared" si="8"/>
        <v>0</v>
      </c>
    </row>
    <row r="125" spans="1:13" s="16" customFormat="1" ht="31.5" x14ac:dyDescent="0.2">
      <c r="A125" s="217"/>
      <c r="B125" s="209"/>
      <c r="C125" s="219"/>
      <c r="D125" s="209"/>
      <c r="E125" s="17" t="s">
        <v>107</v>
      </c>
      <c r="F125" s="35">
        <v>2021</v>
      </c>
      <c r="G125" s="36">
        <f>I125</f>
        <v>3744531</v>
      </c>
      <c r="H125" s="125">
        <v>0</v>
      </c>
      <c r="I125" s="36">
        <v>3744531</v>
      </c>
      <c r="J125" s="37"/>
      <c r="K125" s="74">
        <v>2076</v>
      </c>
      <c r="L125" s="158">
        <v>2721913.3</v>
      </c>
      <c r="M125" s="73">
        <f t="shared" si="8"/>
        <v>1022617.7000000002</v>
      </c>
    </row>
    <row r="126" spans="1:13" s="16" customFormat="1" ht="31.5" customHeight="1" x14ac:dyDescent="0.25">
      <c r="A126" s="267" t="s">
        <v>45</v>
      </c>
      <c r="B126" s="256">
        <v>7461</v>
      </c>
      <c r="C126" s="205" t="s">
        <v>20</v>
      </c>
      <c r="D126" s="270" t="s">
        <v>46</v>
      </c>
      <c r="E126" s="33" t="s">
        <v>117</v>
      </c>
      <c r="F126" s="35">
        <v>2021</v>
      </c>
      <c r="G126" s="36">
        <f t="shared" ref="G126:G127" si="12">I126</f>
        <v>483498</v>
      </c>
      <c r="H126" s="125">
        <v>0</v>
      </c>
      <c r="I126" s="36">
        <v>483498</v>
      </c>
      <c r="J126" s="37"/>
      <c r="K126" s="74">
        <v>2077</v>
      </c>
      <c r="L126" s="158"/>
      <c r="M126" s="73">
        <f t="shared" si="8"/>
        <v>483498</v>
      </c>
    </row>
    <row r="127" spans="1:13" s="16" customFormat="1" ht="31.5" x14ac:dyDescent="0.25">
      <c r="A127" s="268"/>
      <c r="B127" s="269"/>
      <c r="C127" s="206"/>
      <c r="D127" s="271"/>
      <c r="E127" s="33" t="s">
        <v>137</v>
      </c>
      <c r="F127" s="35">
        <v>2021</v>
      </c>
      <c r="G127" s="36">
        <f t="shared" si="12"/>
        <v>1499979</v>
      </c>
      <c r="H127" s="125">
        <v>0</v>
      </c>
      <c r="I127" s="36">
        <v>1499979</v>
      </c>
      <c r="J127" s="37"/>
      <c r="K127" s="74">
        <v>2078</v>
      </c>
      <c r="L127" s="158"/>
      <c r="M127" s="73">
        <f t="shared" si="8"/>
        <v>1499979</v>
      </c>
    </row>
    <row r="128" spans="1:13" s="16" customFormat="1" ht="31.5" x14ac:dyDescent="0.25">
      <c r="A128" s="268"/>
      <c r="B128" s="269"/>
      <c r="C128" s="206"/>
      <c r="D128" s="271"/>
      <c r="E128" s="33" t="s">
        <v>138</v>
      </c>
      <c r="F128" s="35">
        <v>2021</v>
      </c>
      <c r="G128" s="36">
        <f>I128</f>
        <v>29313</v>
      </c>
      <c r="H128" s="125">
        <v>0</v>
      </c>
      <c r="I128" s="36">
        <v>29313</v>
      </c>
      <c r="J128" s="37"/>
      <c r="K128" s="74">
        <v>2079</v>
      </c>
      <c r="L128" s="158">
        <v>29313</v>
      </c>
      <c r="M128" s="73">
        <f t="shared" si="8"/>
        <v>0</v>
      </c>
    </row>
    <row r="129" spans="1:13" s="16" customFormat="1" ht="18.75" x14ac:dyDescent="0.25">
      <c r="A129" s="268"/>
      <c r="B129" s="269"/>
      <c r="C129" s="206"/>
      <c r="D129" s="271"/>
      <c r="E129" s="33" t="s">
        <v>254</v>
      </c>
      <c r="F129" s="35">
        <v>2021</v>
      </c>
      <c r="G129" s="36">
        <f>I129</f>
        <v>1492497</v>
      </c>
      <c r="H129" s="125">
        <v>0</v>
      </c>
      <c r="I129" s="36">
        <f>1380691+111806</f>
        <v>1492497</v>
      </c>
      <c r="J129" s="37"/>
      <c r="K129" s="74">
        <v>2080</v>
      </c>
      <c r="L129" s="158"/>
      <c r="M129" s="73">
        <f t="shared" si="8"/>
        <v>1492497</v>
      </c>
    </row>
    <row r="130" spans="1:13" s="16" customFormat="1" ht="31.5" x14ac:dyDescent="0.25">
      <c r="A130" s="268"/>
      <c r="B130" s="269"/>
      <c r="C130" s="206"/>
      <c r="D130" s="271"/>
      <c r="E130" s="33" t="s">
        <v>113</v>
      </c>
      <c r="F130" s="35">
        <v>2021</v>
      </c>
      <c r="G130" s="36">
        <f t="shared" ref="G130:G131" si="13">I130</f>
        <v>48777</v>
      </c>
      <c r="H130" s="125">
        <v>0</v>
      </c>
      <c r="I130" s="36">
        <v>48777</v>
      </c>
      <c r="J130" s="37"/>
      <c r="K130" s="74">
        <v>2081</v>
      </c>
      <c r="L130" s="158">
        <f>I130</f>
        <v>48777</v>
      </c>
      <c r="M130" s="73">
        <f t="shared" si="8"/>
        <v>0</v>
      </c>
    </row>
    <row r="131" spans="1:13" s="16" customFormat="1" ht="31.5" x14ac:dyDescent="0.25">
      <c r="A131" s="268"/>
      <c r="B131" s="269"/>
      <c r="C131" s="206"/>
      <c r="D131" s="271"/>
      <c r="E131" s="33" t="s">
        <v>112</v>
      </c>
      <c r="F131" s="35">
        <v>2021</v>
      </c>
      <c r="G131" s="36">
        <f t="shared" si="13"/>
        <v>47835</v>
      </c>
      <c r="H131" s="125">
        <v>0</v>
      </c>
      <c r="I131" s="36">
        <v>47835</v>
      </c>
      <c r="J131" s="37"/>
      <c r="K131" s="74">
        <v>2082</v>
      </c>
      <c r="L131" s="158">
        <f>I131</f>
        <v>47835</v>
      </c>
      <c r="M131" s="73">
        <f t="shared" si="8"/>
        <v>0</v>
      </c>
    </row>
    <row r="132" spans="1:13" s="16" customFormat="1" ht="31.5" x14ac:dyDescent="0.25">
      <c r="A132" s="268"/>
      <c r="B132" s="269"/>
      <c r="C132" s="206"/>
      <c r="D132" s="271"/>
      <c r="E132" s="33" t="s">
        <v>116</v>
      </c>
      <c r="F132" s="35">
        <v>2021</v>
      </c>
      <c r="G132" s="36">
        <f t="shared" ref="G132:G141" si="14">I132</f>
        <v>25000</v>
      </c>
      <c r="H132" s="125">
        <v>0</v>
      </c>
      <c r="I132" s="36">
        <v>25000</v>
      </c>
      <c r="J132" s="37"/>
      <c r="K132" s="74">
        <v>2083</v>
      </c>
      <c r="L132" s="158">
        <f>I132</f>
        <v>25000</v>
      </c>
      <c r="M132" s="73">
        <f t="shared" si="8"/>
        <v>0</v>
      </c>
    </row>
    <row r="133" spans="1:13" s="16" customFormat="1" ht="31.5" x14ac:dyDescent="0.25">
      <c r="A133" s="268"/>
      <c r="B133" s="269"/>
      <c r="C133" s="206"/>
      <c r="D133" s="271"/>
      <c r="E133" s="33" t="s">
        <v>139</v>
      </c>
      <c r="F133" s="35">
        <v>2021</v>
      </c>
      <c r="G133" s="36">
        <f t="shared" si="14"/>
        <v>49899</v>
      </c>
      <c r="H133" s="125">
        <v>0</v>
      </c>
      <c r="I133" s="36">
        <v>49899</v>
      </c>
      <c r="J133" s="37"/>
      <c r="K133" s="74">
        <v>2084</v>
      </c>
      <c r="L133" s="158">
        <f>I133</f>
        <v>49899</v>
      </c>
      <c r="M133" s="73">
        <f t="shared" si="8"/>
        <v>0</v>
      </c>
    </row>
    <row r="134" spans="1:13" s="16" customFormat="1" ht="31.5" x14ac:dyDescent="0.25">
      <c r="A134" s="268"/>
      <c r="B134" s="269"/>
      <c r="C134" s="206"/>
      <c r="D134" s="271"/>
      <c r="E134" s="33" t="s">
        <v>140</v>
      </c>
      <c r="F134" s="35">
        <v>2021</v>
      </c>
      <c r="G134" s="36">
        <f t="shared" si="14"/>
        <v>35854</v>
      </c>
      <c r="H134" s="125">
        <v>0</v>
      </c>
      <c r="I134" s="36">
        <v>35854</v>
      </c>
      <c r="J134" s="37"/>
      <c r="K134" s="74">
        <v>2085</v>
      </c>
      <c r="L134" s="158">
        <f>I134</f>
        <v>35854</v>
      </c>
      <c r="M134" s="73">
        <f t="shared" si="8"/>
        <v>0</v>
      </c>
    </row>
    <row r="135" spans="1:13" s="16" customFormat="1" ht="31.5" x14ac:dyDescent="0.25">
      <c r="A135" s="268"/>
      <c r="B135" s="269"/>
      <c r="C135" s="206"/>
      <c r="D135" s="271"/>
      <c r="E135" s="33" t="s">
        <v>141</v>
      </c>
      <c r="F135" s="35">
        <v>2021</v>
      </c>
      <c r="G135" s="36">
        <f t="shared" si="14"/>
        <v>197823</v>
      </c>
      <c r="H135" s="125">
        <v>0</v>
      </c>
      <c r="I135" s="36">
        <v>197823</v>
      </c>
      <c r="J135" s="37"/>
      <c r="K135" s="74">
        <v>2086</v>
      </c>
      <c r="L135" s="158">
        <v>196302</v>
      </c>
      <c r="M135" s="73">
        <f t="shared" si="8"/>
        <v>1521</v>
      </c>
    </row>
    <row r="136" spans="1:13" s="16" customFormat="1" ht="31.5" x14ac:dyDescent="0.25">
      <c r="A136" s="268"/>
      <c r="B136" s="269"/>
      <c r="C136" s="206"/>
      <c r="D136" s="271"/>
      <c r="E136" s="33" t="s">
        <v>142</v>
      </c>
      <c r="F136" s="35">
        <v>2021</v>
      </c>
      <c r="G136" s="36">
        <f t="shared" si="14"/>
        <v>49122</v>
      </c>
      <c r="H136" s="125">
        <v>0</v>
      </c>
      <c r="I136" s="36">
        <v>49122</v>
      </c>
      <c r="J136" s="37"/>
      <c r="K136" s="74">
        <v>2087</v>
      </c>
      <c r="L136" s="158">
        <f>I136</f>
        <v>49122</v>
      </c>
      <c r="M136" s="73">
        <f t="shared" si="8"/>
        <v>0</v>
      </c>
    </row>
    <row r="137" spans="1:13" s="16" customFormat="1" ht="31.5" x14ac:dyDescent="0.25">
      <c r="A137" s="268"/>
      <c r="B137" s="269"/>
      <c r="C137" s="206"/>
      <c r="D137" s="271"/>
      <c r="E137" s="33" t="s">
        <v>115</v>
      </c>
      <c r="F137" s="35">
        <v>2021</v>
      </c>
      <c r="G137" s="36">
        <f t="shared" si="14"/>
        <v>49730</v>
      </c>
      <c r="H137" s="125">
        <v>0</v>
      </c>
      <c r="I137" s="36">
        <v>49730</v>
      </c>
      <c r="J137" s="37"/>
      <c r="K137" s="74">
        <v>2088</v>
      </c>
      <c r="L137" s="158">
        <f>I137</f>
        <v>49730</v>
      </c>
      <c r="M137" s="73">
        <f t="shared" si="8"/>
        <v>0</v>
      </c>
    </row>
    <row r="138" spans="1:13" s="16" customFormat="1" ht="31.5" x14ac:dyDescent="0.25">
      <c r="A138" s="268"/>
      <c r="B138" s="269"/>
      <c r="C138" s="206"/>
      <c r="D138" s="271"/>
      <c r="E138" s="41" t="s">
        <v>114</v>
      </c>
      <c r="F138" s="35">
        <v>2021</v>
      </c>
      <c r="G138" s="36">
        <f t="shared" si="14"/>
        <v>152924</v>
      </c>
      <c r="H138" s="125">
        <v>0</v>
      </c>
      <c r="I138" s="36">
        <v>152924</v>
      </c>
      <c r="J138" s="37"/>
      <c r="K138" s="74">
        <v>2089</v>
      </c>
      <c r="L138" s="82"/>
      <c r="M138" s="73">
        <f t="shared" si="8"/>
        <v>152924</v>
      </c>
    </row>
    <row r="139" spans="1:13" s="16" customFormat="1" ht="31.5" x14ac:dyDescent="0.25">
      <c r="A139" s="268"/>
      <c r="B139" s="269"/>
      <c r="C139" s="206"/>
      <c r="D139" s="271"/>
      <c r="E139" s="41" t="s">
        <v>119</v>
      </c>
      <c r="F139" s="35">
        <v>2021</v>
      </c>
      <c r="G139" s="36">
        <f t="shared" si="14"/>
        <v>49359</v>
      </c>
      <c r="H139" s="125">
        <v>0</v>
      </c>
      <c r="I139" s="36">
        <v>49359</v>
      </c>
      <c r="J139" s="37"/>
      <c r="K139" s="74">
        <v>2090</v>
      </c>
      <c r="L139" s="158">
        <f>I139</f>
        <v>49359</v>
      </c>
      <c r="M139" s="73">
        <f t="shared" si="8"/>
        <v>0</v>
      </c>
    </row>
    <row r="140" spans="1:13" s="16" customFormat="1" ht="31.5" x14ac:dyDescent="0.25">
      <c r="A140" s="268"/>
      <c r="B140" s="269"/>
      <c r="C140" s="206"/>
      <c r="D140" s="271"/>
      <c r="E140" s="33" t="s">
        <v>144</v>
      </c>
      <c r="F140" s="35">
        <v>2021</v>
      </c>
      <c r="G140" s="36">
        <f t="shared" si="14"/>
        <v>25375</v>
      </c>
      <c r="H140" s="125">
        <v>0</v>
      </c>
      <c r="I140" s="36">
        <v>25375</v>
      </c>
      <c r="J140" s="37"/>
      <c r="K140" s="74">
        <v>2091</v>
      </c>
      <c r="L140" s="158">
        <f>I140</f>
        <v>25375</v>
      </c>
      <c r="M140" s="73">
        <f t="shared" si="8"/>
        <v>0</v>
      </c>
    </row>
    <row r="141" spans="1:13" s="16" customFormat="1" ht="47.25" x14ac:dyDescent="0.25">
      <c r="A141" s="268"/>
      <c r="B141" s="269"/>
      <c r="C141" s="206"/>
      <c r="D141" s="271"/>
      <c r="E141" s="41" t="s">
        <v>120</v>
      </c>
      <c r="F141" s="35">
        <v>2021</v>
      </c>
      <c r="G141" s="36">
        <f t="shared" si="14"/>
        <v>165400</v>
      </c>
      <c r="H141" s="125">
        <v>0</v>
      </c>
      <c r="I141" s="36">
        <v>165400</v>
      </c>
      <c r="J141" s="37"/>
      <c r="K141" s="74">
        <v>2092</v>
      </c>
      <c r="L141" s="158">
        <v>163473</v>
      </c>
      <c r="M141" s="73">
        <f t="shared" si="8"/>
        <v>1927</v>
      </c>
    </row>
    <row r="142" spans="1:13" s="103" customFormat="1" ht="31.5" x14ac:dyDescent="0.25">
      <c r="A142" s="268"/>
      <c r="B142" s="269"/>
      <c r="C142" s="206"/>
      <c r="D142" s="271"/>
      <c r="E142" s="41" t="s">
        <v>161</v>
      </c>
      <c r="F142" s="35">
        <v>2021</v>
      </c>
      <c r="G142" s="36">
        <f>I142</f>
        <v>455618.78</v>
      </c>
      <c r="H142" s="125">
        <v>0</v>
      </c>
      <c r="I142" s="36">
        <v>455618.78</v>
      </c>
      <c r="J142" s="37"/>
      <c r="K142" s="142">
        <v>2102</v>
      </c>
      <c r="L142" s="143"/>
      <c r="M142" s="144">
        <f t="shared" si="8"/>
        <v>455618.78</v>
      </c>
    </row>
    <row r="143" spans="1:13" s="103" customFormat="1" ht="31.5" x14ac:dyDescent="0.25">
      <c r="A143" s="268"/>
      <c r="B143" s="269"/>
      <c r="C143" s="206"/>
      <c r="D143" s="271"/>
      <c r="E143" s="41" t="s">
        <v>162</v>
      </c>
      <c r="F143" s="35">
        <v>2021</v>
      </c>
      <c r="G143" s="36">
        <f>I143</f>
        <v>6575.93</v>
      </c>
      <c r="H143" s="125">
        <v>0</v>
      </c>
      <c r="I143" s="36">
        <v>6575.93</v>
      </c>
      <c r="J143" s="37"/>
      <c r="K143" s="142">
        <v>2103</v>
      </c>
      <c r="L143" s="143"/>
      <c r="M143" s="144">
        <f t="shared" si="8"/>
        <v>6575.93</v>
      </c>
    </row>
    <row r="144" spans="1:13" s="103" customFormat="1" ht="31.5" x14ac:dyDescent="0.25">
      <c r="A144" s="268"/>
      <c r="B144" s="269"/>
      <c r="C144" s="206"/>
      <c r="D144" s="271"/>
      <c r="E144" s="41" t="s">
        <v>158</v>
      </c>
      <c r="F144" s="35">
        <v>2021</v>
      </c>
      <c r="G144" s="36">
        <f>I144</f>
        <v>4649124</v>
      </c>
      <c r="H144" s="125">
        <v>0</v>
      </c>
      <c r="I144" s="36">
        <v>4649124</v>
      </c>
      <c r="J144" s="37"/>
      <c r="K144" s="142">
        <v>2104</v>
      </c>
      <c r="L144" s="143">
        <f>13020+1722326.19</f>
        <v>1735346.19</v>
      </c>
      <c r="M144" s="144">
        <f t="shared" si="8"/>
        <v>2913777.81</v>
      </c>
    </row>
    <row r="145" spans="1:52" s="16" customFormat="1" ht="31.5" x14ac:dyDescent="0.25">
      <c r="A145" s="268"/>
      <c r="B145" s="269"/>
      <c r="C145" s="206"/>
      <c r="D145" s="271"/>
      <c r="E145" s="41" t="s">
        <v>155</v>
      </c>
      <c r="F145" s="35">
        <v>2021</v>
      </c>
      <c r="G145" s="36">
        <f>I145</f>
        <v>2086945</v>
      </c>
      <c r="H145" s="125">
        <v>0</v>
      </c>
      <c r="I145" s="36">
        <v>2086945</v>
      </c>
      <c r="J145" s="37"/>
      <c r="K145" s="74">
        <v>2105</v>
      </c>
      <c r="L145" s="82"/>
      <c r="M145" s="73">
        <f t="shared" si="8"/>
        <v>2086945</v>
      </c>
    </row>
    <row r="146" spans="1:52" s="16" customFormat="1" ht="18.75" x14ac:dyDescent="0.25">
      <c r="A146" s="268"/>
      <c r="B146" s="269"/>
      <c r="C146" s="206"/>
      <c r="D146" s="271"/>
      <c r="E146" s="41" t="s">
        <v>257</v>
      </c>
      <c r="F146" s="35">
        <v>2021</v>
      </c>
      <c r="G146" s="36">
        <v>2639078</v>
      </c>
      <c r="H146" s="125">
        <v>0</v>
      </c>
      <c r="I146" s="36">
        <f>G146</f>
        <v>2639078</v>
      </c>
      <c r="J146" s="37"/>
      <c r="K146" s="74">
        <v>2141</v>
      </c>
      <c r="L146" s="82"/>
      <c r="M146" s="73">
        <f t="shared" ref="M146" si="15">I146-L146</f>
        <v>2639078</v>
      </c>
    </row>
    <row r="147" spans="1:52" s="16" customFormat="1" ht="31.5" x14ac:dyDescent="0.25">
      <c r="A147" s="205" t="s">
        <v>126</v>
      </c>
      <c r="B147" s="207">
        <v>7330</v>
      </c>
      <c r="C147" s="218" t="s">
        <v>24</v>
      </c>
      <c r="D147" s="202" t="s">
        <v>125</v>
      </c>
      <c r="E147" s="41" t="s">
        <v>173</v>
      </c>
      <c r="F147" s="35">
        <v>2021</v>
      </c>
      <c r="G147" s="36">
        <f>I147</f>
        <v>49500</v>
      </c>
      <c r="H147" s="125">
        <v>0</v>
      </c>
      <c r="I147" s="36">
        <v>49500</v>
      </c>
      <c r="J147" s="37"/>
      <c r="K147" s="74">
        <v>2093</v>
      </c>
      <c r="L147" s="82">
        <v>49500</v>
      </c>
      <c r="M147" s="73">
        <f t="shared" si="8"/>
        <v>0</v>
      </c>
    </row>
    <row r="148" spans="1:52" s="16" customFormat="1" ht="31.5" x14ac:dyDescent="0.25">
      <c r="A148" s="206"/>
      <c r="B148" s="208"/>
      <c r="C148" s="262"/>
      <c r="D148" s="203"/>
      <c r="E148" s="41" t="s">
        <v>268</v>
      </c>
      <c r="F148" s="35">
        <v>2021</v>
      </c>
      <c r="G148" s="36">
        <v>193170</v>
      </c>
      <c r="H148" s="125">
        <v>0</v>
      </c>
      <c r="I148" s="36">
        <v>193170</v>
      </c>
      <c r="J148" s="37"/>
      <c r="K148" s="74">
        <v>2144</v>
      </c>
      <c r="L148" s="82"/>
      <c r="M148" s="73">
        <f t="shared" si="8"/>
        <v>193170</v>
      </c>
    </row>
    <row r="149" spans="1:52" s="16" customFormat="1" ht="31.5" x14ac:dyDescent="0.25">
      <c r="A149" s="217"/>
      <c r="B149" s="209"/>
      <c r="C149" s="219"/>
      <c r="D149" s="204"/>
      <c r="E149" s="41" t="s">
        <v>293</v>
      </c>
      <c r="F149" s="35">
        <v>2021</v>
      </c>
      <c r="G149" s="36">
        <v>53038930</v>
      </c>
      <c r="H149" s="125">
        <v>0</v>
      </c>
      <c r="I149" s="36">
        <v>17000000</v>
      </c>
      <c r="J149" s="37"/>
      <c r="K149" s="74">
        <v>2170</v>
      </c>
      <c r="L149" s="82"/>
      <c r="M149" s="73">
        <f t="shared" ref="M149" si="16">I149-L149</f>
        <v>17000000</v>
      </c>
    </row>
    <row r="150" spans="1:52" s="5" customFormat="1" ht="18.75" x14ac:dyDescent="0.2">
      <c r="A150" s="220"/>
      <c r="B150" s="221"/>
      <c r="C150" s="222"/>
      <c r="D150" s="48" t="s">
        <v>81</v>
      </c>
      <c r="E150" s="49"/>
      <c r="F150" s="52" t="s">
        <v>7</v>
      </c>
      <c r="G150" s="115" t="s">
        <v>7</v>
      </c>
      <c r="H150" s="115" t="s">
        <v>7</v>
      </c>
      <c r="I150" s="115">
        <f>SUM(I151:I158)</f>
        <v>14304402</v>
      </c>
      <c r="J150" s="121" t="s">
        <v>7</v>
      </c>
      <c r="K150" s="264"/>
      <c r="L150" s="265"/>
      <c r="M150" s="266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s="16" customFormat="1" ht="18.75" x14ac:dyDescent="0.25">
      <c r="A151" s="211" t="s">
        <v>11</v>
      </c>
      <c r="B151" s="232">
        <v>6030</v>
      </c>
      <c r="C151" s="233" t="s">
        <v>18</v>
      </c>
      <c r="D151" s="278" t="s">
        <v>19</v>
      </c>
      <c r="E151" s="41" t="s">
        <v>96</v>
      </c>
      <c r="F151" s="35">
        <v>2021</v>
      </c>
      <c r="G151" s="36">
        <v>0</v>
      </c>
      <c r="H151" s="125">
        <v>0</v>
      </c>
      <c r="I151" s="36">
        <f>3466000+1700000+890000+224000+91640</f>
        <v>6371640</v>
      </c>
      <c r="J151" s="37"/>
      <c r="K151" s="74">
        <v>2052</v>
      </c>
      <c r="L151" s="82">
        <f>185130+167328+11352+3257070+933730+1698000</f>
        <v>6252610</v>
      </c>
      <c r="M151" s="73">
        <f t="shared" si="8"/>
        <v>119030</v>
      </c>
      <c r="N151" s="16" t="s">
        <v>222</v>
      </c>
    </row>
    <row r="152" spans="1:52" s="16" customFormat="1" ht="31.5" x14ac:dyDescent="0.25">
      <c r="A152" s="211"/>
      <c r="B152" s="232"/>
      <c r="C152" s="233"/>
      <c r="D152" s="278"/>
      <c r="E152" s="41" t="s">
        <v>238</v>
      </c>
      <c r="F152" s="35">
        <v>2021</v>
      </c>
      <c r="G152" s="36">
        <f>I152</f>
        <v>1464553</v>
      </c>
      <c r="H152" s="125">
        <v>0</v>
      </c>
      <c r="I152" s="36">
        <f>15001+1449552</f>
        <v>1464553</v>
      </c>
      <c r="J152" s="37"/>
      <c r="K152" s="74">
        <v>2128</v>
      </c>
      <c r="L152" s="82">
        <v>15000</v>
      </c>
      <c r="M152" s="73">
        <f t="shared" si="8"/>
        <v>1449553</v>
      </c>
    </row>
    <row r="153" spans="1:52" s="16" customFormat="1" ht="18.75" x14ac:dyDescent="0.25">
      <c r="A153" s="211"/>
      <c r="B153" s="232"/>
      <c r="C153" s="233"/>
      <c r="D153" s="278"/>
      <c r="E153" s="198" t="s">
        <v>242</v>
      </c>
      <c r="F153" s="35">
        <v>2021</v>
      </c>
      <c r="G153" s="36">
        <v>1552373</v>
      </c>
      <c r="H153" s="125">
        <v>0</v>
      </c>
      <c r="I153" s="36">
        <f>1437340-84000</f>
        <v>1353340</v>
      </c>
      <c r="J153" s="37"/>
      <c r="K153" s="74">
        <v>2145</v>
      </c>
      <c r="L153" s="82"/>
      <c r="M153" s="73">
        <f t="shared" si="8"/>
        <v>1353340</v>
      </c>
    </row>
    <row r="154" spans="1:52" s="16" customFormat="1" ht="18.75" x14ac:dyDescent="0.25">
      <c r="A154" s="211"/>
      <c r="B154" s="232"/>
      <c r="C154" s="233"/>
      <c r="D154" s="278"/>
      <c r="E154" s="41" t="s">
        <v>243</v>
      </c>
      <c r="F154" s="35">
        <v>2021</v>
      </c>
      <c r="G154" s="36">
        <v>1486243</v>
      </c>
      <c r="H154" s="125">
        <v>0</v>
      </c>
      <c r="I154" s="36">
        <f>1371210+84000</f>
        <v>1455210</v>
      </c>
      <c r="J154" s="37"/>
      <c r="K154" s="74">
        <v>2146</v>
      </c>
      <c r="L154" s="82">
        <v>1369691.2</v>
      </c>
      <c r="M154" s="73">
        <f t="shared" si="8"/>
        <v>85518.800000000047</v>
      </c>
    </row>
    <row r="155" spans="1:52" s="16" customFormat="1" ht="31.5" x14ac:dyDescent="0.25">
      <c r="A155" s="211"/>
      <c r="B155" s="232"/>
      <c r="C155" s="233"/>
      <c r="D155" s="278"/>
      <c r="E155" s="41" t="s">
        <v>282</v>
      </c>
      <c r="F155" s="35">
        <v>2021</v>
      </c>
      <c r="G155" s="36">
        <v>1566250</v>
      </c>
      <c r="H155" s="125">
        <v>0</v>
      </c>
      <c r="I155" s="36">
        <f>G155</f>
        <v>1566250</v>
      </c>
      <c r="J155" s="37"/>
      <c r="K155" s="74">
        <v>2161</v>
      </c>
      <c r="L155" s="82"/>
      <c r="M155" s="73"/>
    </row>
    <row r="156" spans="1:52" s="16" customFormat="1" ht="31.5" x14ac:dyDescent="0.25">
      <c r="A156" s="211"/>
      <c r="B156" s="232"/>
      <c r="C156" s="233"/>
      <c r="D156" s="278"/>
      <c r="E156" s="41" t="s">
        <v>283</v>
      </c>
      <c r="F156" s="35">
        <v>2021</v>
      </c>
      <c r="G156" s="36">
        <v>396175</v>
      </c>
      <c r="H156" s="125">
        <v>0</v>
      </c>
      <c r="I156" s="36">
        <f t="shared" ref="I156:I158" si="17">G156</f>
        <v>396175</v>
      </c>
      <c r="J156" s="37"/>
      <c r="K156" s="74">
        <v>2162</v>
      </c>
      <c r="L156" s="82"/>
      <c r="M156" s="73"/>
    </row>
    <row r="157" spans="1:52" s="16" customFormat="1" ht="31.5" x14ac:dyDescent="0.25">
      <c r="A157" s="211"/>
      <c r="B157" s="232"/>
      <c r="C157" s="233"/>
      <c r="D157" s="278"/>
      <c r="E157" s="41" t="s">
        <v>284</v>
      </c>
      <c r="F157" s="35">
        <v>2021</v>
      </c>
      <c r="G157" s="36">
        <v>929194</v>
      </c>
      <c r="H157" s="125">
        <v>0</v>
      </c>
      <c r="I157" s="36">
        <f t="shared" si="17"/>
        <v>929194</v>
      </c>
      <c r="J157" s="37"/>
      <c r="K157" s="74">
        <v>2163</v>
      </c>
      <c r="L157" s="82"/>
      <c r="M157" s="73"/>
    </row>
    <row r="158" spans="1:52" s="16" customFormat="1" ht="31.5" x14ac:dyDescent="0.25">
      <c r="A158" s="211"/>
      <c r="B158" s="232"/>
      <c r="C158" s="233"/>
      <c r="D158" s="278"/>
      <c r="E158" s="41" t="s">
        <v>285</v>
      </c>
      <c r="F158" s="35">
        <v>2021</v>
      </c>
      <c r="G158" s="36">
        <v>768040</v>
      </c>
      <c r="H158" s="125">
        <v>0</v>
      </c>
      <c r="I158" s="36">
        <f t="shared" si="17"/>
        <v>768040</v>
      </c>
      <c r="J158" s="37"/>
      <c r="K158" s="74">
        <v>2164</v>
      </c>
      <c r="L158" s="82"/>
      <c r="M158" s="73"/>
    </row>
    <row r="159" spans="1:52" s="5" customFormat="1" ht="18.75" x14ac:dyDescent="0.2">
      <c r="A159" s="220"/>
      <c r="B159" s="221"/>
      <c r="C159" s="222"/>
      <c r="D159" s="48" t="s">
        <v>122</v>
      </c>
      <c r="E159" s="49"/>
      <c r="F159" s="52" t="s">
        <v>7</v>
      </c>
      <c r="G159" s="115" t="s">
        <v>7</v>
      </c>
      <c r="H159" s="115" t="s">
        <v>7</v>
      </c>
      <c r="I159" s="115">
        <f>I160</f>
        <v>146700</v>
      </c>
      <c r="J159" s="121" t="s">
        <v>7</v>
      </c>
      <c r="K159" s="174"/>
      <c r="L159" s="175"/>
      <c r="M159" s="176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s="16" customFormat="1" ht="18.75" x14ac:dyDescent="0.25">
      <c r="A160" s="7" t="s">
        <v>121</v>
      </c>
      <c r="B160" s="78" t="s">
        <v>22</v>
      </c>
      <c r="C160" s="79" t="s">
        <v>124</v>
      </c>
      <c r="D160" s="80" t="s">
        <v>123</v>
      </c>
      <c r="E160" s="41" t="s">
        <v>96</v>
      </c>
      <c r="F160" s="35">
        <v>2021</v>
      </c>
      <c r="G160" s="36">
        <v>0</v>
      </c>
      <c r="H160" s="125">
        <v>0</v>
      </c>
      <c r="I160" s="36">
        <v>146700</v>
      </c>
      <c r="J160" s="37"/>
      <c r="K160" s="74">
        <v>2094</v>
      </c>
      <c r="L160" s="158">
        <f>129260+7197</f>
        <v>136457</v>
      </c>
      <c r="M160" s="73">
        <f t="shared" si="8"/>
        <v>10243</v>
      </c>
      <c r="N160" s="16" t="s">
        <v>220</v>
      </c>
    </row>
    <row r="161" spans="1:52" s="5" customFormat="1" ht="18.75" x14ac:dyDescent="0.25">
      <c r="A161" s="112" t="s">
        <v>181</v>
      </c>
      <c r="B161" s="55"/>
      <c r="C161" s="43"/>
      <c r="D161" s="44" t="s">
        <v>77</v>
      </c>
      <c r="E161" s="45"/>
      <c r="F161" s="52" t="s">
        <v>7</v>
      </c>
      <c r="G161" s="115" t="s">
        <v>7</v>
      </c>
      <c r="H161" s="115" t="s">
        <v>7</v>
      </c>
      <c r="I161" s="115">
        <f>SUM(I162:I186)+I188+I189+I190+I191+I192+I193+I194+I195+I196+I198+I197</f>
        <v>61366660</v>
      </c>
      <c r="J161" s="121" t="s">
        <v>7</v>
      </c>
      <c r="K161" s="168"/>
      <c r="L161" s="169"/>
      <c r="M161" s="170"/>
    </row>
    <row r="162" spans="1:52" s="16" customFormat="1" ht="31.5" x14ac:dyDescent="0.25">
      <c r="A162" s="194" t="s">
        <v>291</v>
      </c>
      <c r="B162" s="195">
        <v>1021</v>
      </c>
      <c r="C162" s="194" t="s">
        <v>303</v>
      </c>
      <c r="D162" s="193" t="s">
        <v>292</v>
      </c>
      <c r="E162" s="140" t="s">
        <v>96</v>
      </c>
      <c r="F162" s="35">
        <v>2021</v>
      </c>
      <c r="G162" s="36">
        <v>0</v>
      </c>
      <c r="H162" s="125">
        <v>0</v>
      </c>
      <c r="I162" s="36">
        <v>151397</v>
      </c>
      <c r="J162" s="37"/>
      <c r="K162" s="74">
        <v>2160</v>
      </c>
      <c r="L162" s="196"/>
      <c r="M162" s="196"/>
    </row>
    <row r="163" spans="1:52" s="16" customFormat="1" ht="31.5" x14ac:dyDescent="0.25">
      <c r="A163" s="211" t="s">
        <v>23</v>
      </c>
      <c r="B163" s="245">
        <v>7321</v>
      </c>
      <c r="C163" s="211" t="s">
        <v>24</v>
      </c>
      <c r="D163" s="245" t="s">
        <v>50</v>
      </c>
      <c r="E163" s="41" t="s">
        <v>204</v>
      </c>
      <c r="F163" s="35">
        <v>2021</v>
      </c>
      <c r="G163" s="36">
        <f>I163</f>
        <v>329527</v>
      </c>
      <c r="H163" s="125">
        <v>0</v>
      </c>
      <c r="I163" s="36">
        <f>49900+279627</f>
        <v>329527</v>
      </c>
      <c r="J163" s="188"/>
      <c r="K163" s="74">
        <v>2028</v>
      </c>
      <c r="L163" s="159">
        <v>329527</v>
      </c>
      <c r="M163" s="73">
        <f t="shared" si="8"/>
        <v>0</v>
      </c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s="16" customFormat="1" ht="63.75" customHeight="1" x14ac:dyDescent="0.25">
      <c r="A164" s="211"/>
      <c r="B164" s="245"/>
      <c r="C164" s="211"/>
      <c r="D164" s="245"/>
      <c r="E164" s="41" t="s">
        <v>244</v>
      </c>
      <c r="F164" s="35">
        <v>2021</v>
      </c>
      <c r="G164" s="36">
        <f t="shared" ref="G164:G169" si="18">I164</f>
        <v>49500</v>
      </c>
      <c r="H164" s="125">
        <v>0</v>
      </c>
      <c r="I164" s="36">
        <v>49500</v>
      </c>
      <c r="J164" s="188"/>
      <c r="K164" s="74">
        <v>2095</v>
      </c>
      <c r="L164" s="159">
        <v>49500</v>
      </c>
      <c r="M164" s="73">
        <f t="shared" si="8"/>
        <v>0</v>
      </c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s="16" customFormat="1" ht="47.25" x14ac:dyDescent="0.25">
      <c r="A165" s="211"/>
      <c r="B165" s="245"/>
      <c r="C165" s="211"/>
      <c r="D165" s="245"/>
      <c r="E165" s="41" t="s">
        <v>205</v>
      </c>
      <c r="F165" s="35">
        <v>2021</v>
      </c>
      <c r="G165" s="36">
        <f t="shared" si="18"/>
        <v>49500</v>
      </c>
      <c r="H165" s="125">
        <v>0</v>
      </c>
      <c r="I165" s="36">
        <v>49500</v>
      </c>
      <c r="J165" s="188"/>
      <c r="K165" s="74">
        <v>2096</v>
      </c>
      <c r="L165" s="159">
        <v>49500</v>
      </c>
      <c r="M165" s="73">
        <f t="shared" si="8"/>
        <v>0</v>
      </c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s="103" customFormat="1" ht="32.25" customHeight="1" x14ac:dyDescent="0.25">
      <c r="A166" s="211"/>
      <c r="B166" s="245"/>
      <c r="C166" s="211"/>
      <c r="D166" s="245"/>
      <c r="E166" s="41" t="s">
        <v>166</v>
      </c>
      <c r="F166" s="35">
        <v>2021</v>
      </c>
      <c r="G166" s="36">
        <f t="shared" si="18"/>
        <v>44500</v>
      </c>
      <c r="H166" s="125">
        <v>0</v>
      </c>
      <c r="I166" s="36">
        <v>44500</v>
      </c>
      <c r="J166" s="188"/>
      <c r="K166" s="142">
        <v>2106</v>
      </c>
      <c r="L166" s="161">
        <v>44500</v>
      </c>
      <c r="M166" s="144">
        <f t="shared" si="8"/>
        <v>0</v>
      </c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</row>
    <row r="167" spans="1:52" s="103" customFormat="1" ht="47.25" x14ac:dyDescent="0.25">
      <c r="A167" s="211"/>
      <c r="B167" s="245"/>
      <c r="C167" s="211"/>
      <c r="D167" s="245"/>
      <c r="E167" s="41" t="s">
        <v>165</v>
      </c>
      <c r="F167" s="35">
        <v>2021</v>
      </c>
      <c r="G167" s="36">
        <f t="shared" si="18"/>
        <v>48500</v>
      </c>
      <c r="H167" s="125">
        <v>0</v>
      </c>
      <c r="I167" s="36">
        <v>48500</v>
      </c>
      <c r="J167" s="188"/>
      <c r="K167" s="142">
        <v>2107</v>
      </c>
      <c r="L167" s="161">
        <v>48500</v>
      </c>
      <c r="M167" s="144">
        <f t="shared" si="8"/>
        <v>0</v>
      </c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</row>
    <row r="168" spans="1:52" s="103" customFormat="1" ht="31.5" x14ac:dyDescent="0.25">
      <c r="A168" s="211"/>
      <c r="B168" s="245"/>
      <c r="C168" s="211"/>
      <c r="D168" s="245"/>
      <c r="E168" s="41" t="s">
        <v>206</v>
      </c>
      <c r="F168" s="35">
        <v>2021</v>
      </c>
      <c r="G168" s="36">
        <f t="shared" si="18"/>
        <v>49500</v>
      </c>
      <c r="H168" s="125">
        <v>0</v>
      </c>
      <c r="I168" s="36">
        <v>49500</v>
      </c>
      <c r="J168" s="188"/>
      <c r="K168" s="142">
        <v>2112</v>
      </c>
      <c r="L168" s="161">
        <v>49500</v>
      </c>
      <c r="M168" s="144">
        <f t="shared" si="8"/>
        <v>0</v>
      </c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</row>
    <row r="169" spans="1:52" s="103" customFormat="1" ht="51.75" customHeight="1" x14ac:dyDescent="0.25">
      <c r="A169" s="211"/>
      <c r="B169" s="245"/>
      <c r="C169" s="211"/>
      <c r="D169" s="245"/>
      <c r="E169" s="41" t="s">
        <v>164</v>
      </c>
      <c r="F169" s="35">
        <v>2021</v>
      </c>
      <c r="G169" s="36">
        <f t="shared" si="18"/>
        <v>889000</v>
      </c>
      <c r="H169" s="125">
        <v>0</v>
      </c>
      <c r="I169" s="36">
        <v>889000</v>
      </c>
      <c r="J169" s="188"/>
      <c r="K169" s="142">
        <v>2113</v>
      </c>
      <c r="L169" s="161">
        <v>889000</v>
      </c>
      <c r="M169" s="144">
        <f t="shared" si="8"/>
        <v>0</v>
      </c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</row>
    <row r="170" spans="1:52" s="16" customFormat="1" ht="47.25" x14ac:dyDescent="0.25">
      <c r="A170" s="211"/>
      <c r="B170" s="245"/>
      <c r="C170" s="211"/>
      <c r="D170" s="245"/>
      <c r="E170" s="41" t="s">
        <v>218</v>
      </c>
      <c r="F170" s="35">
        <v>2021</v>
      </c>
      <c r="G170" s="36">
        <v>35801</v>
      </c>
      <c r="H170" s="125">
        <v>0</v>
      </c>
      <c r="I170" s="36">
        <v>35801</v>
      </c>
      <c r="J170" s="188"/>
      <c r="K170" s="74">
        <v>2116</v>
      </c>
      <c r="L170" s="159">
        <v>35800.75</v>
      </c>
      <c r="M170" s="73">
        <f t="shared" si="8"/>
        <v>0.25</v>
      </c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s="16" customFormat="1" ht="47.25" x14ac:dyDescent="0.25">
      <c r="A171" s="211"/>
      <c r="B171" s="245"/>
      <c r="C171" s="211"/>
      <c r="D171" s="245"/>
      <c r="E171" s="41" t="s">
        <v>210</v>
      </c>
      <c r="F171" s="35">
        <v>2021</v>
      </c>
      <c r="G171" s="36">
        <v>49667</v>
      </c>
      <c r="H171" s="125">
        <v>0</v>
      </c>
      <c r="I171" s="36">
        <v>49667</v>
      </c>
      <c r="J171" s="188"/>
      <c r="K171" s="74">
        <v>2117</v>
      </c>
      <c r="L171" s="159">
        <v>49666.98</v>
      </c>
      <c r="M171" s="73">
        <f t="shared" si="8"/>
        <v>1.9999999996798579E-2</v>
      </c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s="16" customFormat="1" ht="36.75" customHeight="1" x14ac:dyDescent="0.25">
      <c r="A172" s="211"/>
      <c r="B172" s="245"/>
      <c r="C172" s="211"/>
      <c r="D172" s="245"/>
      <c r="E172" s="41" t="s">
        <v>262</v>
      </c>
      <c r="F172" s="35">
        <v>2021</v>
      </c>
      <c r="G172" s="36">
        <v>80066712</v>
      </c>
      <c r="H172" s="125">
        <v>0</v>
      </c>
      <c r="I172" s="36">
        <v>14711356</v>
      </c>
      <c r="J172" s="188"/>
      <c r="K172" s="74">
        <v>2148</v>
      </c>
      <c r="L172" s="86"/>
      <c r="M172" s="73">
        <f t="shared" si="8"/>
        <v>14711356</v>
      </c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s="16" customFormat="1" ht="39" customHeight="1" x14ac:dyDescent="0.25">
      <c r="A173" s="211"/>
      <c r="B173" s="245"/>
      <c r="C173" s="211"/>
      <c r="D173" s="245"/>
      <c r="E173" s="41" t="s">
        <v>263</v>
      </c>
      <c r="F173" s="35">
        <v>2021</v>
      </c>
      <c r="G173" s="36">
        <v>7273000</v>
      </c>
      <c r="H173" s="125">
        <v>0</v>
      </c>
      <c r="I173" s="36">
        <v>7273000</v>
      </c>
      <c r="J173" s="188"/>
      <c r="K173" s="74">
        <v>2149</v>
      </c>
      <c r="L173" s="86">
        <f>2181900+1203432.22+3887667.78</f>
        <v>7273000</v>
      </c>
      <c r="M173" s="73">
        <f t="shared" si="8"/>
        <v>0</v>
      </c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s="16" customFormat="1" ht="52.5" customHeight="1" x14ac:dyDescent="0.25">
      <c r="A174" s="211"/>
      <c r="B174" s="245"/>
      <c r="C174" s="211"/>
      <c r="D174" s="245"/>
      <c r="E174" s="41" t="s">
        <v>264</v>
      </c>
      <c r="F174" s="35">
        <v>2021</v>
      </c>
      <c r="G174" s="36">
        <v>13801319</v>
      </c>
      <c r="H174" s="125">
        <v>0</v>
      </c>
      <c r="I174" s="36">
        <v>1645427</v>
      </c>
      <c r="J174" s="188"/>
      <c r="K174" s="74">
        <v>2150</v>
      </c>
      <c r="L174" s="86">
        <v>23369.62</v>
      </c>
      <c r="M174" s="73">
        <f t="shared" si="8"/>
        <v>1622057.38</v>
      </c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s="16" customFormat="1" ht="59.25" customHeight="1" x14ac:dyDescent="0.25">
      <c r="A175" s="211"/>
      <c r="B175" s="245"/>
      <c r="C175" s="211"/>
      <c r="D175" s="245"/>
      <c r="E175" s="41" t="s">
        <v>265</v>
      </c>
      <c r="F175" s="35">
        <v>2021</v>
      </c>
      <c r="G175" s="36">
        <v>9513572</v>
      </c>
      <c r="H175" s="125">
        <v>0</v>
      </c>
      <c r="I175" s="36">
        <v>4541047</v>
      </c>
      <c r="J175" s="188"/>
      <c r="K175" s="74">
        <v>2151</v>
      </c>
      <c r="L175" s="86"/>
      <c r="M175" s="73">
        <f t="shared" si="8"/>
        <v>4541047</v>
      </c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s="16" customFormat="1" ht="40.5" customHeight="1" x14ac:dyDescent="0.25">
      <c r="A176" s="211"/>
      <c r="B176" s="245"/>
      <c r="C176" s="211"/>
      <c r="D176" s="245"/>
      <c r="E176" s="41" t="s">
        <v>274</v>
      </c>
      <c r="F176" s="35">
        <v>2021</v>
      </c>
      <c r="G176" s="36">
        <v>1218117</v>
      </c>
      <c r="H176" s="125">
        <v>0</v>
      </c>
      <c r="I176" s="36">
        <f>G176</f>
        <v>1218117</v>
      </c>
      <c r="J176" s="188"/>
      <c r="K176" s="74">
        <v>2154</v>
      </c>
      <c r="L176" s="86">
        <f>453455.17</f>
        <v>453455.17</v>
      </c>
      <c r="M176" s="73">
        <f t="shared" si="8"/>
        <v>764661.83000000007</v>
      </c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s="16" customFormat="1" ht="31.5" x14ac:dyDescent="0.25">
      <c r="A177" s="211"/>
      <c r="B177" s="245"/>
      <c r="C177" s="211"/>
      <c r="D177" s="245"/>
      <c r="E177" s="41" t="s">
        <v>276</v>
      </c>
      <c r="F177" s="35">
        <v>2021</v>
      </c>
      <c r="G177" s="36">
        <f>I177</f>
        <v>299000</v>
      </c>
      <c r="H177" s="125">
        <v>0</v>
      </c>
      <c r="I177" s="36">
        <v>299000</v>
      </c>
      <c r="J177" s="188"/>
      <c r="K177" s="74">
        <v>2155</v>
      </c>
      <c r="L177" s="86">
        <f>89673.94</f>
        <v>89673.94</v>
      </c>
      <c r="M177" s="73">
        <f t="shared" si="8"/>
        <v>209326.06</v>
      </c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s="16" customFormat="1" ht="36.75" customHeight="1" x14ac:dyDescent="0.25">
      <c r="A178" s="211"/>
      <c r="B178" s="245"/>
      <c r="C178" s="211"/>
      <c r="D178" s="245"/>
      <c r="E178" s="41" t="s">
        <v>277</v>
      </c>
      <c r="F178" s="35">
        <v>2021</v>
      </c>
      <c r="G178" s="36">
        <f>I178</f>
        <v>293780</v>
      </c>
      <c r="H178" s="125">
        <v>0</v>
      </c>
      <c r="I178" s="36">
        <v>293780</v>
      </c>
      <c r="J178" s="188"/>
      <c r="K178" s="74">
        <v>2156</v>
      </c>
      <c r="L178" s="86"/>
      <c r="M178" s="73">
        <f t="shared" si="8"/>
        <v>293780</v>
      </c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s="16" customFormat="1" ht="26.25" customHeight="1" x14ac:dyDescent="0.25">
      <c r="A179" s="211"/>
      <c r="B179" s="245"/>
      <c r="C179" s="211"/>
      <c r="D179" s="245"/>
      <c r="E179" s="41" t="s">
        <v>278</v>
      </c>
      <c r="F179" s="35">
        <v>2021</v>
      </c>
      <c r="G179" s="36">
        <f>I179</f>
        <v>289220</v>
      </c>
      <c r="H179" s="125">
        <v>0</v>
      </c>
      <c r="I179" s="36">
        <v>289220</v>
      </c>
      <c r="J179" s="188"/>
      <c r="K179" s="74">
        <v>2157</v>
      </c>
      <c r="L179" s="86"/>
      <c r="M179" s="73">
        <f t="shared" ref="M179:M183" si="19">I179-L179</f>
        <v>289220</v>
      </c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s="16" customFormat="1" ht="34.5" customHeight="1" x14ac:dyDescent="0.25">
      <c r="A180" s="211"/>
      <c r="B180" s="245"/>
      <c r="C180" s="211"/>
      <c r="D180" s="245"/>
      <c r="E180" s="41" t="s">
        <v>294</v>
      </c>
      <c r="F180" s="35" t="s">
        <v>189</v>
      </c>
      <c r="G180" s="36">
        <v>67620674</v>
      </c>
      <c r="H180" s="125">
        <v>0</v>
      </c>
      <c r="I180" s="36">
        <v>172720</v>
      </c>
      <c r="J180" s="188"/>
      <c r="K180" s="74">
        <v>2003</v>
      </c>
      <c r="L180" s="86"/>
      <c r="M180" s="73">
        <f t="shared" si="19"/>
        <v>172720</v>
      </c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s="16" customFormat="1" ht="37.5" customHeight="1" x14ac:dyDescent="0.25">
      <c r="A181" s="211"/>
      <c r="B181" s="245"/>
      <c r="C181" s="211"/>
      <c r="D181" s="245"/>
      <c r="E181" s="41" t="s">
        <v>295</v>
      </c>
      <c r="F181" s="35">
        <v>2021</v>
      </c>
      <c r="G181" s="36">
        <v>49964</v>
      </c>
      <c r="H181" s="125">
        <v>0</v>
      </c>
      <c r="I181" s="36">
        <v>49964</v>
      </c>
      <c r="J181" s="188"/>
      <c r="K181" s="74">
        <v>2174</v>
      </c>
      <c r="L181" s="86"/>
      <c r="M181" s="73">
        <f t="shared" si="19"/>
        <v>49964</v>
      </c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s="16" customFormat="1" ht="48.75" customHeight="1" x14ac:dyDescent="0.25">
      <c r="A182" s="211"/>
      <c r="B182" s="245"/>
      <c r="C182" s="211"/>
      <c r="D182" s="245"/>
      <c r="E182" s="41" t="s">
        <v>302</v>
      </c>
      <c r="F182" s="35">
        <v>2021</v>
      </c>
      <c r="G182" s="36">
        <v>20000</v>
      </c>
      <c r="H182" s="125">
        <v>0</v>
      </c>
      <c r="I182" s="36">
        <v>20000</v>
      </c>
      <c r="J182" s="188"/>
      <c r="K182" s="74">
        <v>2175</v>
      </c>
      <c r="L182" s="86"/>
      <c r="M182" s="73">
        <f t="shared" si="19"/>
        <v>20000</v>
      </c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s="16" customFormat="1" ht="55.5" customHeight="1" x14ac:dyDescent="0.25">
      <c r="A183" s="211"/>
      <c r="B183" s="245"/>
      <c r="C183" s="211"/>
      <c r="D183" s="245"/>
      <c r="E183" s="41" t="s">
        <v>301</v>
      </c>
      <c r="F183" s="35">
        <v>2021</v>
      </c>
      <c r="G183" s="36">
        <v>35000</v>
      </c>
      <c r="H183" s="125">
        <v>0</v>
      </c>
      <c r="I183" s="36">
        <v>35000</v>
      </c>
      <c r="J183" s="188"/>
      <c r="K183" s="74">
        <v>2176</v>
      </c>
      <c r="L183" s="86"/>
      <c r="M183" s="73">
        <f t="shared" si="19"/>
        <v>35000</v>
      </c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s="16" customFormat="1" ht="61.5" customHeight="1" x14ac:dyDescent="0.25">
      <c r="A184" s="211"/>
      <c r="B184" s="245"/>
      <c r="C184" s="211"/>
      <c r="D184" s="245"/>
      <c r="E184" s="41" t="s">
        <v>296</v>
      </c>
      <c r="F184" s="35">
        <v>2021</v>
      </c>
      <c r="G184" s="36">
        <v>106540</v>
      </c>
      <c r="H184" s="125">
        <v>0</v>
      </c>
      <c r="I184" s="36">
        <f>G184</f>
        <v>106540</v>
      </c>
      <c r="J184" s="188"/>
      <c r="K184" s="74">
        <v>2177</v>
      </c>
      <c r="L184" s="86"/>
      <c r="M184" s="73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s="16" customFormat="1" ht="54" customHeight="1" x14ac:dyDescent="0.25">
      <c r="A185" s="211"/>
      <c r="B185" s="245"/>
      <c r="C185" s="211"/>
      <c r="D185" s="245"/>
      <c r="E185" s="41" t="s">
        <v>297</v>
      </c>
      <c r="F185" s="35">
        <v>2021</v>
      </c>
      <c r="G185" s="36">
        <v>30780</v>
      </c>
      <c r="H185" s="125">
        <v>0</v>
      </c>
      <c r="I185" s="36">
        <f>G185</f>
        <v>30780</v>
      </c>
      <c r="J185" s="188"/>
      <c r="K185" s="74">
        <v>2178</v>
      </c>
      <c r="L185" s="86"/>
      <c r="M185" s="73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s="16" customFormat="1" ht="37.5" customHeight="1" x14ac:dyDescent="0.25">
      <c r="A186" s="211"/>
      <c r="B186" s="245"/>
      <c r="C186" s="211"/>
      <c r="D186" s="245"/>
      <c r="E186" s="41" t="s">
        <v>298</v>
      </c>
      <c r="F186" s="35">
        <v>2021</v>
      </c>
      <c r="G186" s="36">
        <v>224427</v>
      </c>
      <c r="H186" s="125">
        <v>0</v>
      </c>
      <c r="I186" s="36">
        <v>224427</v>
      </c>
      <c r="J186" s="188"/>
      <c r="K186" s="74">
        <v>2171</v>
      </c>
      <c r="L186" s="86"/>
      <c r="M186" s="73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s="16" customFormat="1" ht="18.75" x14ac:dyDescent="0.25">
      <c r="A187" s="214" t="s">
        <v>149</v>
      </c>
      <c r="B187" s="215"/>
      <c r="C187" s="215"/>
      <c r="D187" s="215"/>
      <c r="E187" s="215"/>
      <c r="F187" s="215"/>
      <c r="G187" s="215"/>
      <c r="H187" s="215"/>
      <c r="I187" s="215"/>
      <c r="J187" s="216"/>
      <c r="K187" s="171"/>
      <c r="L187" s="172"/>
      <c r="M187" s="173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s="16" customFormat="1" ht="48.75" customHeight="1" x14ac:dyDescent="0.25">
      <c r="A188" s="7" t="s">
        <v>59</v>
      </c>
      <c r="B188" s="46">
        <v>1200</v>
      </c>
      <c r="C188" s="7" t="s">
        <v>58</v>
      </c>
      <c r="D188" s="32" t="s">
        <v>67</v>
      </c>
      <c r="E188" s="17" t="s">
        <v>10</v>
      </c>
      <c r="F188" s="35">
        <v>2021</v>
      </c>
      <c r="G188" s="36">
        <v>0</v>
      </c>
      <c r="H188" s="125">
        <v>0</v>
      </c>
      <c r="I188" s="36">
        <v>640541</v>
      </c>
      <c r="J188" s="37"/>
      <c r="K188" s="74">
        <v>2043</v>
      </c>
      <c r="L188" s="86"/>
      <c r="M188" s="73">
        <f t="shared" ref="M188:M198" si="20">I188-L188</f>
        <v>640541</v>
      </c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s="16" customFormat="1" ht="45" customHeight="1" x14ac:dyDescent="0.25">
      <c r="A189" s="7" t="s">
        <v>69</v>
      </c>
      <c r="B189" s="46">
        <v>7368</v>
      </c>
      <c r="C189" s="7" t="s">
        <v>5</v>
      </c>
      <c r="D189" s="88" t="s">
        <v>70</v>
      </c>
      <c r="E189" s="17" t="s">
        <v>171</v>
      </c>
      <c r="F189" s="35" t="s">
        <v>189</v>
      </c>
      <c r="G189" s="36">
        <v>67620674</v>
      </c>
      <c r="H189" s="125">
        <v>0.3</v>
      </c>
      <c r="I189" s="36">
        <v>22754622</v>
      </c>
      <c r="J189" s="37"/>
      <c r="K189" s="74">
        <v>2044</v>
      </c>
      <c r="L189" s="159">
        <f>2000000+3232751.68+306242.8+3136947.48</f>
        <v>8675941.959999999</v>
      </c>
      <c r="M189" s="73">
        <f t="shared" si="20"/>
        <v>14078680.040000001</v>
      </c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s="16" customFormat="1" ht="47.25" x14ac:dyDescent="0.2">
      <c r="A190" s="53" t="s">
        <v>225</v>
      </c>
      <c r="B190" s="54">
        <v>7363</v>
      </c>
      <c r="C190" s="136" t="s">
        <v>5</v>
      </c>
      <c r="D190" s="137" t="s">
        <v>61</v>
      </c>
      <c r="E190" s="17" t="s">
        <v>226</v>
      </c>
      <c r="F190" s="35">
        <v>2021</v>
      </c>
      <c r="G190" s="36">
        <v>1728000</v>
      </c>
      <c r="H190" s="125">
        <v>0</v>
      </c>
      <c r="I190" s="36">
        <v>1728000</v>
      </c>
      <c r="J190" s="37"/>
      <c r="K190" s="74">
        <v>2120</v>
      </c>
      <c r="L190" s="82">
        <v>0</v>
      </c>
      <c r="M190" s="73">
        <f t="shared" si="20"/>
        <v>1728000</v>
      </c>
    </row>
    <row r="191" spans="1:52" s="16" customFormat="1" ht="31.5" x14ac:dyDescent="0.25">
      <c r="A191" s="227" t="s">
        <v>230</v>
      </c>
      <c r="B191" s="223">
        <v>1061</v>
      </c>
      <c r="C191" s="205" t="s">
        <v>231</v>
      </c>
      <c r="D191" s="225" t="s">
        <v>232</v>
      </c>
      <c r="E191" s="17" t="s">
        <v>229</v>
      </c>
      <c r="F191" s="35">
        <v>2021</v>
      </c>
      <c r="G191" s="36">
        <v>295000</v>
      </c>
      <c r="H191" s="125">
        <v>0</v>
      </c>
      <c r="I191" s="36">
        <v>295000</v>
      </c>
      <c r="J191" s="37"/>
      <c r="K191" s="105">
        <v>2122</v>
      </c>
      <c r="L191" s="86">
        <v>88408.84</v>
      </c>
      <c r="M191" s="73">
        <f t="shared" si="20"/>
        <v>206591.16</v>
      </c>
    </row>
    <row r="192" spans="1:52" s="16" customFormat="1" ht="31.5" x14ac:dyDescent="0.25">
      <c r="A192" s="228"/>
      <c r="B192" s="230"/>
      <c r="C192" s="206"/>
      <c r="D192" s="231"/>
      <c r="E192" s="17" t="s">
        <v>233</v>
      </c>
      <c r="F192" s="35">
        <v>2021</v>
      </c>
      <c r="G192" s="36">
        <v>250000</v>
      </c>
      <c r="H192" s="125">
        <v>0</v>
      </c>
      <c r="I192" s="36">
        <v>250000</v>
      </c>
      <c r="J192" s="37"/>
      <c r="K192" s="105">
        <v>2123</v>
      </c>
      <c r="L192" s="86">
        <f>71847.32+167644.47</f>
        <v>239491.79</v>
      </c>
      <c r="M192" s="73">
        <f t="shared" si="20"/>
        <v>10508.209999999992</v>
      </c>
    </row>
    <row r="193" spans="1:52" s="16" customFormat="1" ht="31.5" x14ac:dyDescent="0.25">
      <c r="A193" s="228"/>
      <c r="B193" s="230"/>
      <c r="C193" s="206"/>
      <c r="D193" s="231"/>
      <c r="E193" s="17" t="s">
        <v>234</v>
      </c>
      <c r="F193" s="35">
        <v>2021</v>
      </c>
      <c r="G193" s="36">
        <v>419000</v>
      </c>
      <c r="H193" s="125">
        <v>0</v>
      </c>
      <c r="I193" s="36">
        <v>419000</v>
      </c>
      <c r="J193" s="37"/>
      <c r="K193" s="105">
        <v>2124</v>
      </c>
      <c r="L193" s="86">
        <f>5700+123510.24</f>
        <v>129210.24000000001</v>
      </c>
      <c r="M193" s="73">
        <f t="shared" si="20"/>
        <v>289789.76</v>
      </c>
    </row>
    <row r="194" spans="1:52" s="16" customFormat="1" ht="31.5" x14ac:dyDescent="0.25">
      <c r="A194" s="228"/>
      <c r="B194" s="230"/>
      <c r="C194" s="206"/>
      <c r="D194" s="231"/>
      <c r="E194" s="17" t="s">
        <v>235</v>
      </c>
      <c r="F194" s="35">
        <v>2021</v>
      </c>
      <c r="G194" s="36">
        <v>342000</v>
      </c>
      <c r="H194" s="125">
        <v>0</v>
      </c>
      <c r="I194" s="36">
        <v>342000</v>
      </c>
      <c r="J194" s="37"/>
      <c r="K194" s="105">
        <v>2125</v>
      </c>
      <c r="L194" s="86">
        <f>5400+100523.17</f>
        <v>105923.17</v>
      </c>
      <c r="M194" s="73">
        <f t="shared" si="20"/>
        <v>236076.83000000002</v>
      </c>
    </row>
    <row r="195" spans="1:52" s="16" customFormat="1" ht="31.5" x14ac:dyDescent="0.25">
      <c r="A195" s="228"/>
      <c r="B195" s="230"/>
      <c r="C195" s="206"/>
      <c r="D195" s="231"/>
      <c r="E195" s="17" t="s">
        <v>236</v>
      </c>
      <c r="F195" s="35">
        <v>2021</v>
      </c>
      <c r="G195" s="36">
        <v>260000</v>
      </c>
      <c r="H195" s="125">
        <v>0</v>
      </c>
      <c r="I195" s="36">
        <v>260000</v>
      </c>
      <c r="J195" s="37"/>
      <c r="K195" s="105">
        <v>2126</v>
      </c>
      <c r="L195" s="86">
        <f>77995.76+181990.72</f>
        <v>259986.47999999998</v>
      </c>
      <c r="M195" s="73">
        <f t="shared" si="20"/>
        <v>13.520000000018626</v>
      </c>
    </row>
    <row r="196" spans="1:52" s="16" customFormat="1" ht="31.5" x14ac:dyDescent="0.25">
      <c r="A196" s="228"/>
      <c r="B196" s="230"/>
      <c r="C196" s="206"/>
      <c r="D196" s="231"/>
      <c r="E196" s="17" t="s">
        <v>237</v>
      </c>
      <c r="F196" s="35">
        <v>2021</v>
      </c>
      <c r="G196" s="36">
        <v>840000</v>
      </c>
      <c r="H196" s="125">
        <v>0</v>
      </c>
      <c r="I196" s="36">
        <v>840000</v>
      </c>
      <c r="J196" s="37"/>
      <c r="K196" s="105">
        <v>2127</v>
      </c>
      <c r="L196" s="86">
        <v>251731.81</v>
      </c>
      <c r="M196" s="73">
        <f t="shared" si="20"/>
        <v>588268.18999999994</v>
      </c>
    </row>
    <row r="197" spans="1:52" s="16" customFormat="1" ht="18.75" x14ac:dyDescent="0.25">
      <c r="A197" s="229"/>
      <c r="B197" s="224"/>
      <c r="C197" s="217"/>
      <c r="D197" s="226"/>
      <c r="E197" s="17" t="s">
        <v>96</v>
      </c>
      <c r="F197" s="35">
        <v>2021</v>
      </c>
      <c r="G197" s="36">
        <v>0</v>
      </c>
      <c r="H197" s="125">
        <v>0</v>
      </c>
      <c r="I197" s="36">
        <v>683265</v>
      </c>
      <c r="J197" s="37"/>
      <c r="K197" s="105">
        <v>2160</v>
      </c>
      <c r="L197" s="199"/>
      <c r="M197" s="73"/>
    </row>
    <row r="198" spans="1:52" s="16" customFormat="1" ht="63" x14ac:dyDescent="0.2">
      <c r="A198" s="187" t="s">
        <v>271</v>
      </c>
      <c r="B198" s="186">
        <v>1182</v>
      </c>
      <c r="C198" s="200" t="s">
        <v>58</v>
      </c>
      <c r="D198" s="182" t="s">
        <v>272</v>
      </c>
      <c r="E198" s="17" t="s">
        <v>96</v>
      </c>
      <c r="F198" s="35">
        <v>2021</v>
      </c>
      <c r="G198" s="36">
        <v>0</v>
      </c>
      <c r="H198" s="125">
        <v>0</v>
      </c>
      <c r="I198" s="36">
        <v>546962</v>
      </c>
      <c r="J198" s="37"/>
      <c r="K198" s="105">
        <v>2153</v>
      </c>
      <c r="L198" s="105"/>
      <c r="M198" s="73">
        <f t="shared" si="20"/>
        <v>546962</v>
      </c>
    </row>
    <row r="199" spans="1:52" ht="31.5" x14ac:dyDescent="0.25">
      <c r="A199" s="112" t="s">
        <v>180</v>
      </c>
      <c r="B199" s="43"/>
      <c r="C199" s="43"/>
      <c r="D199" s="44" t="s">
        <v>151</v>
      </c>
      <c r="E199" s="45"/>
      <c r="F199" s="52" t="s">
        <v>7</v>
      </c>
      <c r="G199" s="115" t="s">
        <v>7</v>
      </c>
      <c r="H199" s="115" t="s">
        <v>7</v>
      </c>
      <c r="I199" s="115">
        <f>I200+I202</f>
        <v>8581950</v>
      </c>
      <c r="J199" s="121" t="s">
        <v>7</v>
      </c>
      <c r="K199" s="146"/>
      <c r="L199" s="147"/>
      <c r="M199" s="144">
        <f t="shared" si="8"/>
        <v>8581950</v>
      </c>
    </row>
    <row r="200" spans="1:52" s="16" customFormat="1" ht="47.25" x14ac:dyDescent="0.25">
      <c r="A200" s="106" t="s">
        <v>152</v>
      </c>
      <c r="B200" s="54">
        <v>7323</v>
      </c>
      <c r="C200" s="201" t="s">
        <v>24</v>
      </c>
      <c r="D200" s="107" t="s">
        <v>153</v>
      </c>
      <c r="E200" s="41" t="s">
        <v>167</v>
      </c>
      <c r="F200" s="35">
        <v>2021</v>
      </c>
      <c r="G200" s="118">
        <f>I200</f>
        <v>49950</v>
      </c>
      <c r="H200" s="125">
        <v>0</v>
      </c>
      <c r="I200" s="118">
        <v>49950</v>
      </c>
      <c r="J200" s="37"/>
      <c r="K200" s="74">
        <v>2107</v>
      </c>
      <c r="L200" s="159">
        <v>49950</v>
      </c>
      <c r="M200" s="73">
        <f t="shared" si="8"/>
        <v>0</v>
      </c>
    </row>
    <row r="201" spans="1:52" s="16" customFormat="1" ht="18.75" x14ac:dyDescent="0.25">
      <c r="A201" s="214" t="s">
        <v>149</v>
      </c>
      <c r="B201" s="215"/>
      <c r="C201" s="215"/>
      <c r="D201" s="215"/>
      <c r="E201" s="215"/>
      <c r="F201" s="215"/>
      <c r="G201" s="215"/>
      <c r="H201" s="215"/>
      <c r="I201" s="215"/>
      <c r="J201" s="216"/>
      <c r="K201" s="171"/>
      <c r="L201" s="172"/>
      <c r="M201" s="173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s="16" customFormat="1" ht="47.25" x14ac:dyDescent="0.2">
      <c r="A202" s="53" t="s">
        <v>227</v>
      </c>
      <c r="B202" s="54">
        <v>7363</v>
      </c>
      <c r="C202" s="136" t="s">
        <v>5</v>
      </c>
      <c r="D202" s="137" t="s">
        <v>61</v>
      </c>
      <c r="E202" s="17" t="s">
        <v>228</v>
      </c>
      <c r="F202" s="35">
        <v>2021</v>
      </c>
      <c r="G202" s="36">
        <v>9297776</v>
      </c>
      <c r="H202" s="125">
        <v>0</v>
      </c>
      <c r="I202" s="36">
        <v>8532000</v>
      </c>
      <c r="J202" s="37"/>
      <c r="K202" s="74">
        <v>2121</v>
      </c>
      <c r="L202" s="82">
        <v>2430904</v>
      </c>
      <c r="M202" s="73">
        <f t="shared" ref="M202" si="21">I202-L202</f>
        <v>6101096</v>
      </c>
    </row>
    <row r="203" spans="1:52" s="5" customFormat="1" ht="31.5" x14ac:dyDescent="0.25">
      <c r="A203" s="111">
        <v>1000000</v>
      </c>
      <c r="B203" s="43"/>
      <c r="C203" s="43"/>
      <c r="D203" s="44" t="s">
        <v>76</v>
      </c>
      <c r="E203" s="45"/>
      <c r="F203" s="52" t="s">
        <v>7</v>
      </c>
      <c r="G203" s="115" t="s">
        <v>7</v>
      </c>
      <c r="H203" s="115" t="s">
        <v>7</v>
      </c>
      <c r="I203" s="115">
        <f>SUM(I204:I206)</f>
        <v>314095</v>
      </c>
      <c r="J203" s="121" t="s">
        <v>7</v>
      </c>
      <c r="K203" s="168"/>
      <c r="L203" s="169"/>
      <c r="M203" s="170"/>
    </row>
    <row r="204" spans="1:52" s="16" customFormat="1" ht="31.5" x14ac:dyDescent="0.25">
      <c r="A204" s="205" t="s">
        <v>93</v>
      </c>
      <c r="B204" s="223">
        <v>4060</v>
      </c>
      <c r="C204" s="223" t="s">
        <v>95</v>
      </c>
      <c r="D204" s="225" t="s">
        <v>94</v>
      </c>
      <c r="E204" s="41" t="s">
        <v>97</v>
      </c>
      <c r="F204" s="35">
        <v>2021</v>
      </c>
      <c r="G204" s="118">
        <f>I204</f>
        <v>184750</v>
      </c>
      <c r="H204" s="125">
        <v>0</v>
      </c>
      <c r="I204" s="118">
        <v>184750</v>
      </c>
      <c r="J204" s="37"/>
      <c r="K204" s="74">
        <v>2054</v>
      </c>
      <c r="L204" s="158">
        <v>119499</v>
      </c>
      <c r="M204" s="73">
        <f t="shared" ref="M204:M206" si="22">I204-L204</f>
        <v>65251</v>
      </c>
    </row>
    <row r="205" spans="1:52" s="16" customFormat="1" ht="31.5" x14ac:dyDescent="0.25">
      <c r="A205" s="217"/>
      <c r="B205" s="224"/>
      <c r="C205" s="224"/>
      <c r="D205" s="226"/>
      <c r="E205" s="41" t="s">
        <v>163</v>
      </c>
      <c r="F205" s="35">
        <v>2021</v>
      </c>
      <c r="G205" s="118">
        <f>I205</f>
        <v>49356</v>
      </c>
      <c r="H205" s="125">
        <v>0</v>
      </c>
      <c r="I205" s="118">
        <v>49356</v>
      </c>
      <c r="J205" s="37"/>
      <c r="K205" s="105">
        <v>2111</v>
      </c>
      <c r="L205" s="158"/>
      <c r="M205" s="73">
        <f t="shared" si="22"/>
        <v>49356</v>
      </c>
    </row>
    <row r="206" spans="1:52" s="16" customFormat="1" ht="18.75" x14ac:dyDescent="0.25">
      <c r="A206" s="128" t="s">
        <v>212</v>
      </c>
      <c r="B206" s="131">
        <v>4030</v>
      </c>
      <c r="C206" s="131" t="s">
        <v>214</v>
      </c>
      <c r="D206" s="132" t="s">
        <v>213</v>
      </c>
      <c r="E206" s="41" t="s">
        <v>10</v>
      </c>
      <c r="F206" s="35">
        <v>2021</v>
      </c>
      <c r="G206" s="118">
        <v>79989</v>
      </c>
      <c r="H206" s="125">
        <v>0</v>
      </c>
      <c r="I206" s="118">
        <v>79989</v>
      </c>
      <c r="J206" s="37"/>
      <c r="K206" s="105">
        <v>2119</v>
      </c>
      <c r="L206" s="158"/>
      <c r="M206" s="73">
        <f t="shared" si="22"/>
        <v>79989</v>
      </c>
    </row>
    <row r="207" spans="1:52" ht="15.75" x14ac:dyDescent="0.25">
      <c r="A207" s="111">
        <v>1100000</v>
      </c>
      <c r="B207" s="43"/>
      <c r="C207" s="43"/>
      <c r="D207" s="44" t="s">
        <v>87</v>
      </c>
      <c r="E207" s="45"/>
      <c r="F207" s="52" t="s">
        <v>7</v>
      </c>
      <c r="G207" s="115" t="s">
        <v>7</v>
      </c>
      <c r="H207" s="115" t="s">
        <v>7</v>
      </c>
      <c r="I207" s="115">
        <f>SUM(I208:I209)</f>
        <v>76400</v>
      </c>
      <c r="J207" s="121" t="s">
        <v>7</v>
      </c>
      <c r="K207" s="96"/>
      <c r="L207" s="162"/>
      <c r="M207" s="73">
        <f t="shared" si="8"/>
        <v>76400</v>
      </c>
    </row>
    <row r="208" spans="1:52" s="16" customFormat="1" ht="31.5" x14ac:dyDescent="0.2">
      <c r="A208" s="106" t="s">
        <v>154</v>
      </c>
      <c r="B208" s="54" t="s">
        <v>72</v>
      </c>
      <c r="C208" s="8" t="s">
        <v>16</v>
      </c>
      <c r="D208" s="107" t="s">
        <v>74</v>
      </c>
      <c r="E208" s="17" t="s">
        <v>10</v>
      </c>
      <c r="F208" s="35">
        <v>2021</v>
      </c>
      <c r="G208" s="118">
        <v>0</v>
      </c>
      <c r="H208" s="125">
        <v>0</v>
      </c>
      <c r="I208" s="118">
        <v>18000</v>
      </c>
      <c r="J208" s="37"/>
      <c r="K208" s="74">
        <v>2108</v>
      </c>
      <c r="L208" s="158">
        <v>18000</v>
      </c>
      <c r="M208" s="73">
        <f t="shared" si="8"/>
        <v>0</v>
      </c>
      <c r="N208" s="16" t="s">
        <v>266</v>
      </c>
    </row>
    <row r="209" spans="1:52" s="16" customFormat="1" ht="18.75" x14ac:dyDescent="0.2">
      <c r="A209" s="190" t="s">
        <v>88</v>
      </c>
      <c r="B209" s="191">
        <v>5041</v>
      </c>
      <c r="C209" s="67" t="s">
        <v>90</v>
      </c>
      <c r="D209" s="68" t="s">
        <v>89</v>
      </c>
      <c r="E209" s="17" t="s">
        <v>10</v>
      </c>
      <c r="F209" s="35">
        <v>2021</v>
      </c>
      <c r="G209" s="36">
        <v>0</v>
      </c>
      <c r="H209" s="125">
        <v>0</v>
      </c>
      <c r="I209" s="36">
        <f>18000+40400</f>
        <v>58400</v>
      </c>
      <c r="J209" s="37"/>
      <c r="K209" s="74">
        <v>2109</v>
      </c>
      <c r="L209" s="158">
        <v>18000</v>
      </c>
      <c r="M209" s="73">
        <f t="shared" si="8"/>
        <v>40400</v>
      </c>
      <c r="N209" s="16" t="s">
        <v>266</v>
      </c>
    </row>
    <row r="210" spans="1:52" s="5" customFormat="1" ht="18.75" x14ac:dyDescent="0.25">
      <c r="A210" s="111">
        <v>3700000</v>
      </c>
      <c r="B210" s="55"/>
      <c r="C210" s="43"/>
      <c r="D210" s="44" t="s">
        <v>92</v>
      </c>
      <c r="E210" s="45"/>
      <c r="F210" s="52" t="s">
        <v>7</v>
      </c>
      <c r="G210" s="115" t="s">
        <v>7</v>
      </c>
      <c r="H210" s="115" t="s">
        <v>7</v>
      </c>
      <c r="I210" s="115">
        <f>I211</f>
        <v>134000</v>
      </c>
      <c r="J210" s="121" t="s">
        <v>7</v>
      </c>
      <c r="K210" s="168"/>
      <c r="L210" s="169"/>
      <c r="M210" s="170"/>
    </row>
    <row r="211" spans="1:52" s="16" customFormat="1" ht="45" customHeight="1" x14ac:dyDescent="0.25">
      <c r="A211" s="183" t="s">
        <v>91</v>
      </c>
      <c r="B211" s="54" t="s">
        <v>72</v>
      </c>
      <c r="C211" s="53" t="s">
        <v>16</v>
      </c>
      <c r="D211" s="185" t="s">
        <v>74</v>
      </c>
      <c r="E211" s="41" t="s">
        <v>96</v>
      </c>
      <c r="F211" s="35">
        <v>2021</v>
      </c>
      <c r="G211" s="36">
        <v>0</v>
      </c>
      <c r="H211" s="125">
        <v>0</v>
      </c>
      <c r="I211" s="36">
        <f>49000+50000+35000</f>
        <v>134000</v>
      </c>
      <c r="J211" s="37"/>
      <c r="K211" s="74">
        <v>2053</v>
      </c>
      <c r="L211" s="86">
        <f>87498+11460+18800</f>
        <v>117758</v>
      </c>
      <c r="M211" s="73">
        <f t="shared" ref="M211" si="23">I211-L211</f>
        <v>16242</v>
      </c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ht="20.25" x14ac:dyDescent="0.3">
      <c r="A212" s="3" t="s">
        <v>2</v>
      </c>
      <c r="B212" s="3" t="s">
        <v>2</v>
      </c>
      <c r="C212" s="3" t="s">
        <v>2</v>
      </c>
      <c r="D212" s="57" t="s">
        <v>21</v>
      </c>
      <c r="E212" s="3" t="s">
        <v>2</v>
      </c>
      <c r="F212" s="3" t="s">
        <v>2</v>
      </c>
      <c r="G212" s="3" t="s">
        <v>2</v>
      </c>
      <c r="H212" s="3" t="s">
        <v>2</v>
      </c>
      <c r="I212" s="119">
        <f>I71+I7</f>
        <v>354133903.71000004</v>
      </c>
      <c r="J212" s="3" t="s">
        <v>2</v>
      </c>
      <c r="K212" s="96"/>
      <c r="L212" s="97"/>
      <c r="M212" s="96"/>
    </row>
    <row r="213" spans="1:52" x14ac:dyDescent="0.2">
      <c r="B213" s="24"/>
      <c r="C213" s="24"/>
      <c r="D213" s="24"/>
      <c r="E213" s="24"/>
      <c r="F213" s="24"/>
      <c r="G213" s="24"/>
      <c r="H213" s="24"/>
      <c r="I213" s="25"/>
      <c r="J213" s="24"/>
    </row>
    <row r="214" spans="1:52" ht="18.75" x14ac:dyDescent="0.3">
      <c r="B214" s="24"/>
      <c r="C214" s="213" t="s">
        <v>78</v>
      </c>
      <c r="D214" s="213"/>
      <c r="E214" s="213"/>
      <c r="F214" s="213"/>
      <c r="G214" s="213"/>
      <c r="H214" s="109"/>
      <c r="I214" s="25"/>
      <c r="J214" s="24"/>
    </row>
    <row r="215" spans="1:52" x14ac:dyDescent="0.2">
      <c r="B215" s="24"/>
      <c r="C215" s="24"/>
      <c r="D215" s="24"/>
      <c r="E215" s="24"/>
      <c r="F215" s="24"/>
      <c r="G215" s="24"/>
      <c r="H215" s="24"/>
      <c r="I215" s="25"/>
      <c r="J215" s="24"/>
    </row>
    <row r="216" spans="1:52" x14ac:dyDescent="0.2">
      <c r="B216" s="24"/>
      <c r="C216" s="24"/>
      <c r="D216" s="24"/>
      <c r="E216" s="24"/>
      <c r="F216" s="24"/>
      <c r="G216" s="27"/>
      <c r="H216" s="27"/>
      <c r="I216" s="26"/>
      <c r="J216" s="24"/>
    </row>
    <row r="217" spans="1:52" ht="20.25" x14ac:dyDescent="0.3">
      <c r="B217" s="24"/>
      <c r="C217" s="24"/>
      <c r="D217" s="24"/>
      <c r="E217" s="28"/>
      <c r="F217" s="29"/>
      <c r="G217" s="30"/>
      <c r="H217" s="30"/>
      <c r="I217" s="31"/>
      <c r="J217" s="29"/>
    </row>
    <row r="218" spans="1:52" x14ac:dyDescent="0.2">
      <c r="E218" s="16"/>
      <c r="F218" s="16"/>
      <c r="G218" s="16"/>
      <c r="H218" s="16"/>
      <c r="I218" s="21"/>
      <c r="J218" s="16"/>
    </row>
    <row r="219" spans="1:52" x14ac:dyDescent="0.2">
      <c r="E219" s="16"/>
      <c r="F219" s="16"/>
      <c r="G219" s="22"/>
      <c r="H219" s="22"/>
      <c r="I219" s="21"/>
      <c r="J219" s="16"/>
    </row>
    <row r="220" spans="1:52" ht="18.75" x14ac:dyDescent="0.3">
      <c r="C220" s="212"/>
      <c r="D220" s="212"/>
      <c r="E220" s="212"/>
      <c r="F220" s="212"/>
      <c r="G220" s="212"/>
      <c r="H220" s="108"/>
      <c r="I220" s="21"/>
      <c r="J220" s="16"/>
    </row>
  </sheetData>
  <autoFilter ref="A8:AZ212"/>
  <mergeCells count="114">
    <mergeCell ref="D87:D89"/>
    <mergeCell ref="A87:A89"/>
    <mergeCell ref="B87:B89"/>
    <mergeCell ref="B75:B78"/>
    <mergeCell ref="C75:C78"/>
    <mergeCell ref="B147:B149"/>
    <mergeCell ref="C147:C149"/>
    <mergeCell ref="C151:C158"/>
    <mergeCell ref="D151:D158"/>
    <mergeCell ref="A102:A123"/>
    <mergeCell ref="B102:B123"/>
    <mergeCell ref="C102:C123"/>
    <mergeCell ref="D102:D123"/>
    <mergeCell ref="D91:D94"/>
    <mergeCell ref="A91:A94"/>
    <mergeCell ref="B91:B94"/>
    <mergeCell ref="C91:C94"/>
    <mergeCell ref="B151:B158"/>
    <mergeCell ref="G2:J2"/>
    <mergeCell ref="K150:M150"/>
    <mergeCell ref="A90:C90"/>
    <mergeCell ref="C80:C81"/>
    <mergeCell ref="B80:B81"/>
    <mergeCell ref="D80:D81"/>
    <mergeCell ref="A126:A146"/>
    <mergeCell ref="B126:B146"/>
    <mergeCell ref="C126:C146"/>
    <mergeCell ref="D126:D146"/>
    <mergeCell ref="F80:F81"/>
    <mergeCell ref="G80:G81"/>
    <mergeCell ref="H80:H81"/>
    <mergeCell ref="E80:E81"/>
    <mergeCell ref="A80:A81"/>
    <mergeCell ref="D99:D100"/>
    <mergeCell ref="A96:C96"/>
    <mergeCell ref="A98:C98"/>
    <mergeCell ref="C99:C100"/>
    <mergeCell ref="C87:C89"/>
    <mergeCell ref="B99:B100"/>
    <mergeCell ref="A45:A60"/>
    <mergeCell ref="B45:B60"/>
    <mergeCell ref="A99:A100"/>
    <mergeCell ref="A163:A186"/>
    <mergeCell ref="B163:B186"/>
    <mergeCell ref="C163:C186"/>
    <mergeCell ref="D163:D186"/>
    <mergeCell ref="G1:J1"/>
    <mergeCell ref="A4:J4"/>
    <mergeCell ref="A3:J3"/>
    <mergeCell ref="D17:D18"/>
    <mergeCell ref="D12:D13"/>
    <mergeCell ref="D27:D28"/>
    <mergeCell ref="D36:D39"/>
    <mergeCell ref="C12:C13"/>
    <mergeCell ref="A7:E7"/>
    <mergeCell ref="A29:C29"/>
    <mergeCell ref="A27:A28"/>
    <mergeCell ref="B27:B28"/>
    <mergeCell ref="C27:C28"/>
    <mergeCell ref="A26:C26"/>
    <mergeCell ref="A30:A31"/>
    <mergeCell ref="B30:B31"/>
    <mergeCell ref="A12:A13"/>
    <mergeCell ref="B12:B13"/>
    <mergeCell ref="C17:C18"/>
    <mergeCell ref="C36:C39"/>
    <mergeCell ref="A147:A149"/>
    <mergeCell ref="A19:A25"/>
    <mergeCell ref="B19:B25"/>
    <mergeCell ref="C19:C25"/>
    <mergeCell ref="D19:D25"/>
    <mergeCell ref="A40:C40"/>
    <mergeCell ref="A71:E71"/>
    <mergeCell ref="B32:B34"/>
    <mergeCell ref="C32:C34"/>
    <mergeCell ref="D32:D34"/>
    <mergeCell ref="A35:C35"/>
    <mergeCell ref="A36:A39"/>
    <mergeCell ref="A32:A34"/>
    <mergeCell ref="A61:J61"/>
    <mergeCell ref="A62:A65"/>
    <mergeCell ref="B62:B65"/>
    <mergeCell ref="C30:C31"/>
    <mergeCell ref="D30:D31"/>
    <mergeCell ref="D45:D60"/>
    <mergeCell ref="C62:C65"/>
    <mergeCell ref="D62:D65"/>
    <mergeCell ref="A75:A78"/>
    <mergeCell ref="D75:D78"/>
    <mergeCell ref="D85:J85"/>
    <mergeCell ref="D147:D149"/>
    <mergeCell ref="A17:A18"/>
    <mergeCell ref="B17:B18"/>
    <mergeCell ref="B36:B39"/>
    <mergeCell ref="C45:C60"/>
    <mergeCell ref="A151:A158"/>
    <mergeCell ref="C220:G220"/>
    <mergeCell ref="C214:G214"/>
    <mergeCell ref="D124:D125"/>
    <mergeCell ref="A187:J187"/>
    <mergeCell ref="A124:A125"/>
    <mergeCell ref="B124:B125"/>
    <mergeCell ref="C124:C125"/>
    <mergeCell ref="A159:C159"/>
    <mergeCell ref="A150:C150"/>
    <mergeCell ref="A204:A205"/>
    <mergeCell ref="B204:B205"/>
    <mergeCell ref="C204:C205"/>
    <mergeCell ref="D204:D205"/>
    <mergeCell ref="A201:J201"/>
    <mergeCell ref="A191:A197"/>
    <mergeCell ref="B191:B197"/>
    <mergeCell ref="C191:C197"/>
    <mergeCell ref="D191:D197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53" orientation="landscape" verticalDpi="0" r:id="rId1"/>
  <rowBreaks count="6" manualBreakCount="6">
    <brk id="27" max="9" man="1"/>
    <brk id="53" max="9" man="1"/>
    <brk id="78" max="9" man="1"/>
    <brk id="101" max="9" man="1"/>
    <brk id="134" max="9" man="1"/>
    <brk id="16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2021-08-27T11:59:08Z</cp:lastPrinted>
  <dcterms:created xsi:type="dcterms:W3CDTF">2019-11-12T13:23:27Z</dcterms:created>
  <dcterms:modified xsi:type="dcterms:W3CDTF">2021-08-27T11:59:12Z</dcterms:modified>
</cp:coreProperties>
</file>